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36" yWindow="60" windowWidth="11820" windowHeight="10068" tabRatio="825"/>
  </bookViews>
  <sheets>
    <sheet name="CHIFFRAGE 2015" sheetId="11" r:id="rId1"/>
    <sheet name="INVESTISSEMENT" sheetId="12" r:id="rId2"/>
  </sheets>
  <externalReferences>
    <externalReference r:id="rId3"/>
  </externalReferences>
  <definedNames>
    <definedName name="Ce_dépression">#REF!</definedName>
    <definedName name="Ce_surpression">#REF!</definedName>
    <definedName name="Ch">#REF!</definedName>
    <definedName name="Ci_dépression">#REF!</definedName>
    <definedName name="Ci_surpression">#REF!</definedName>
    <definedName name="Cl">#REF!</definedName>
    <definedName name="f">#REF!</definedName>
    <definedName name="h">#REF!</definedName>
    <definedName name="IPE">#REF!</definedName>
    <definedName name="k">#REF!</definedName>
    <definedName name="Ko">#REF!</definedName>
    <definedName name="la">#REF!</definedName>
    <definedName name="Ll">#REF!</definedName>
    <definedName name="Lo">#REF!</definedName>
    <definedName name="Ph">#REF!</definedName>
    <definedName name="Pv">#REF!</definedName>
    <definedName name="S">#REF!</definedName>
    <definedName name="_xlnm.Print_Area" localSheetId="0">'CHIFFRAGE 2015'!$A$2:$V$519</definedName>
    <definedName name="_xlnm.Print_Area" localSheetId="1">INVESTISSEMENT!$A$1:$P$20</definedName>
  </definedNames>
  <calcPr calcId="145621" concurrentCalc="0"/>
</workbook>
</file>

<file path=xl/calcChain.xml><?xml version="1.0" encoding="utf-8"?>
<calcChain xmlns="http://schemas.openxmlformats.org/spreadsheetml/2006/main">
  <c r="G125" i="11"/>
  <c r="G124"/>
  <c r="G123"/>
  <c r="G122"/>
  <c r="G121"/>
  <c r="H125"/>
  <c r="H124"/>
  <c r="H123"/>
  <c r="H122"/>
  <c r="H121"/>
  <c r="H120"/>
  <c r="F73"/>
  <c r="F59"/>
  <c r="F58"/>
  <c r="F56"/>
  <c r="F55"/>
  <c r="F51"/>
  <c r="F50"/>
  <c r="F49"/>
  <c r="F48"/>
  <c r="F47"/>
  <c r="F46"/>
  <c r="G1" i="12"/>
  <c r="E4"/>
  <c r="E15"/>
  <c r="C1"/>
  <c r="C5"/>
  <c r="C17"/>
  <c r="C18"/>
  <c r="C19"/>
  <c r="C20"/>
  <c r="K9"/>
  <c r="O6"/>
  <c r="E9"/>
  <c r="C9"/>
  <c r="K10"/>
  <c r="E10"/>
  <c r="C10"/>
  <c r="K11"/>
  <c r="E11"/>
  <c r="C11"/>
  <c r="K12"/>
  <c r="E12"/>
  <c r="C12"/>
  <c r="C13"/>
  <c r="E13"/>
  <c r="I8"/>
  <c r="E8"/>
  <c r="I7"/>
  <c r="E7"/>
  <c r="E5"/>
  <c r="E3"/>
  <c r="E2"/>
  <c r="F509" i="11"/>
  <c r="D11"/>
  <c r="H11"/>
  <c r="H15"/>
  <c r="D472"/>
  <c r="D469"/>
  <c r="D468"/>
  <c r="D467"/>
  <c r="F272"/>
  <c r="F270"/>
  <c r="H270"/>
  <c r="H272"/>
  <c r="H247"/>
  <c r="H259"/>
  <c r="H256"/>
  <c r="H257"/>
  <c r="H254"/>
  <c r="H253"/>
  <c r="H250"/>
  <c r="H242"/>
  <c r="H241"/>
  <c r="F239"/>
  <c r="H239"/>
  <c r="F238"/>
  <c r="H238"/>
  <c r="F237"/>
  <c r="H237"/>
  <c r="F236"/>
  <c r="H236"/>
  <c r="F235"/>
  <c r="H235"/>
  <c r="F234"/>
  <c r="H234"/>
  <c r="F233"/>
  <c r="H233"/>
  <c r="F232"/>
  <c r="H232"/>
  <c r="F231"/>
  <c r="H231"/>
  <c r="F230"/>
  <c r="H230"/>
  <c r="H226"/>
  <c r="H225"/>
  <c r="H224"/>
  <c r="H223"/>
  <c r="F188"/>
  <c r="F189"/>
  <c r="F190"/>
  <c r="F191"/>
  <c r="F192"/>
  <c r="F193"/>
  <c r="F195"/>
  <c r="F196"/>
  <c r="F197"/>
  <c r="F198"/>
  <c r="F199"/>
  <c r="F200"/>
  <c r="F202"/>
  <c r="F203"/>
  <c r="F204"/>
  <c r="F205"/>
  <c r="F206"/>
  <c r="F207"/>
  <c r="F209"/>
  <c r="F210"/>
  <c r="F211"/>
  <c r="F212"/>
  <c r="F213"/>
  <c r="F214"/>
  <c r="F216"/>
  <c r="F217"/>
  <c r="F218"/>
  <c r="F219"/>
  <c r="F220"/>
  <c r="F221"/>
  <c r="D226"/>
  <c r="D225"/>
  <c r="D223"/>
  <c r="H221"/>
  <c r="H220"/>
  <c r="H219"/>
  <c r="H218"/>
  <c r="H217"/>
  <c r="H216"/>
  <c r="H214"/>
  <c r="H213"/>
  <c r="H212"/>
  <c r="H211"/>
  <c r="H210"/>
  <c r="H209"/>
  <c r="H207"/>
  <c r="H206"/>
  <c r="H205"/>
  <c r="H204"/>
  <c r="H203"/>
  <c r="H202"/>
  <c r="H200"/>
  <c r="H199"/>
  <c r="H198"/>
  <c r="H197"/>
  <c r="H196"/>
  <c r="H195"/>
  <c r="H193"/>
  <c r="H192"/>
  <c r="H191"/>
  <c r="H190"/>
  <c r="H189"/>
  <c r="D224"/>
  <c r="M184"/>
  <c r="F184"/>
  <c r="M183"/>
  <c r="F183"/>
  <c r="M182"/>
  <c r="F182"/>
  <c r="M181"/>
  <c r="F181"/>
  <c r="M180"/>
  <c r="F180"/>
  <c r="M179"/>
  <c r="F179"/>
  <c r="M178"/>
  <c r="F178"/>
  <c r="M177"/>
  <c r="F177"/>
  <c r="H184"/>
  <c r="F171"/>
  <c r="F166"/>
  <c r="F167"/>
  <c r="F172"/>
  <c r="F170"/>
  <c r="F168"/>
  <c r="F164"/>
  <c r="H164"/>
  <c r="F165"/>
  <c r="F163"/>
  <c r="F161"/>
  <c r="F157"/>
  <c r="F156"/>
  <c r="F155"/>
  <c r="F153"/>
  <c r="F151"/>
  <c r="F142"/>
  <c r="M127"/>
  <c r="D127"/>
  <c r="F127"/>
  <c r="M128"/>
  <c r="D128"/>
  <c r="F128"/>
  <c r="M129"/>
  <c r="D129"/>
  <c r="F129"/>
  <c r="M130"/>
  <c r="D130"/>
  <c r="F130"/>
  <c r="F132"/>
  <c r="H101"/>
  <c r="F99"/>
  <c r="F98"/>
  <c r="F97"/>
  <c r="F96"/>
  <c r="F95"/>
  <c r="F94"/>
  <c r="F93"/>
  <c r="F92"/>
  <c r="F91"/>
  <c r="F90"/>
  <c r="F89"/>
  <c r="F88"/>
  <c r="F87"/>
  <c r="F86"/>
  <c r="I97"/>
  <c r="F85"/>
  <c r="H97"/>
  <c r="H86"/>
  <c r="H85"/>
  <c r="F83"/>
  <c r="F81"/>
  <c r="F79"/>
  <c r="F82"/>
  <c r="G75"/>
  <c r="G76"/>
  <c r="D76"/>
  <c r="F76"/>
  <c r="D75"/>
  <c r="D74"/>
  <c r="H16"/>
  <c r="H17"/>
  <c r="E11"/>
  <c r="F75"/>
  <c r="H75"/>
  <c r="G74"/>
  <c r="F74"/>
  <c r="F72"/>
  <c r="K71"/>
  <c r="F71"/>
  <c r="F68"/>
  <c r="F70"/>
  <c r="H70"/>
  <c r="F62"/>
  <c r="G62"/>
  <c r="H56"/>
  <c r="F61"/>
  <c r="H63"/>
  <c r="H49"/>
  <c r="H48"/>
  <c r="H47"/>
  <c r="F42"/>
  <c r="H42"/>
  <c r="M28"/>
  <c r="H39"/>
  <c r="D35"/>
  <c r="Q29"/>
  <c r="D34"/>
  <c r="D33"/>
  <c r="D32"/>
  <c r="D36"/>
  <c r="D31"/>
  <c r="D30"/>
  <c r="D475"/>
  <c r="D474"/>
  <c r="D473"/>
  <c r="D471"/>
  <c r="D470"/>
  <c r="D466"/>
  <c r="D465"/>
  <c r="D464"/>
  <c r="D463"/>
  <c r="D462"/>
  <c r="D461"/>
  <c r="D460"/>
  <c r="D459"/>
  <c r="D458"/>
  <c r="D457"/>
  <c r="G304"/>
  <c r="H304"/>
  <c r="G305"/>
  <c r="H305"/>
  <c r="G306"/>
  <c r="H306"/>
  <c r="G307"/>
  <c r="H307"/>
  <c r="H308"/>
  <c r="D342"/>
  <c r="F342"/>
  <c r="F260"/>
  <c r="H267"/>
  <c r="H266"/>
  <c r="H265"/>
  <c r="H264"/>
  <c r="H263"/>
  <c r="H261"/>
  <c r="H255"/>
  <c r="M176"/>
  <c r="F176"/>
  <c r="H176"/>
  <c r="H167"/>
  <c r="F134"/>
  <c r="H134"/>
  <c r="F135"/>
  <c r="H135"/>
  <c r="H132"/>
  <c r="F137"/>
  <c r="H137"/>
  <c r="H117"/>
  <c r="H87"/>
  <c r="H76"/>
  <c r="H71"/>
  <c r="H73"/>
  <c r="F27"/>
  <c r="H27"/>
  <c r="F22"/>
  <c r="H22"/>
  <c r="H74"/>
  <c r="F507"/>
  <c r="A505"/>
  <c r="F505"/>
  <c r="F503"/>
  <c r="F489"/>
  <c r="H163"/>
  <c r="H172"/>
  <c r="H161"/>
  <c r="H165"/>
  <c r="H166"/>
  <c r="H168"/>
  <c r="H170"/>
  <c r="H171"/>
  <c r="H159"/>
  <c r="H30"/>
  <c r="H33"/>
  <c r="H34"/>
  <c r="H35"/>
  <c r="R35"/>
  <c r="H36"/>
  <c r="F25"/>
  <c r="H25"/>
  <c r="F26"/>
  <c r="H26"/>
  <c r="H31"/>
  <c r="H32"/>
  <c r="H40"/>
  <c r="H41"/>
  <c r="H20"/>
  <c r="F316"/>
  <c r="H316"/>
  <c r="H342"/>
  <c r="F320"/>
  <c r="H320"/>
  <c r="F328"/>
  <c r="H328"/>
  <c r="H310"/>
  <c r="H311"/>
  <c r="F312"/>
  <c r="H312"/>
  <c r="F313"/>
  <c r="H313"/>
  <c r="F314"/>
  <c r="H314"/>
  <c r="F315"/>
  <c r="H315"/>
  <c r="H319"/>
  <c r="F321"/>
  <c r="H321"/>
  <c r="F322"/>
  <c r="H322"/>
  <c r="F323"/>
  <c r="H323"/>
  <c r="F324"/>
  <c r="H324"/>
  <c r="F325"/>
  <c r="H325"/>
  <c r="H327"/>
  <c r="F329"/>
  <c r="H329"/>
  <c r="F330"/>
  <c r="H330"/>
  <c r="F331"/>
  <c r="H331"/>
  <c r="F332"/>
  <c r="H332"/>
  <c r="F333"/>
  <c r="H333"/>
  <c r="H335"/>
  <c r="F336"/>
  <c r="H336"/>
  <c r="F337"/>
  <c r="H337"/>
  <c r="F338"/>
  <c r="H338"/>
  <c r="F339"/>
  <c r="H339"/>
  <c r="F343"/>
  <c r="H343"/>
  <c r="H344"/>
  <c r="F345"/>
  <c r="H345"/>
  <c r="H346"/>
  <c r="F348"/>
  <c r="H348"/>
  <c r="H349"/>
  <c r="F351"/>
  <c r="H351"/>
  <c r="F352"/>
  <c r="H352"/>
  <c r="F353"/>
  <c r="H353"/>
  <c r="F354"/>
  <c r="H354"/>
  <c r="F355"/>
  <c r="H355"/>
  <c r="F356"/>
  <c r="H356"/>
  <c r="H359"/>
  <c r="H360"/>
  <c r="H361"/>
  <c r="F362"/>
  <c r="H362"/>
  <c r="F363"/>
  <c r="H363"/>
  <c r="F364"/>
  <c r="H364"/>
  <c r="F365"/>
  <c r="H365"/>
  <c r="H368"/>
  <c r="H369"/>
  <c r="H370"/>
  <c r="F371"/>
  <c r="H371"/>
  <c r="H372"/>
  <c r="G373"/>
  <c r="H373"/>
  <c r="H375"/>
  <c r="H376"/>
  <c r="H377"/>
  <c r="H379"/>
  <c r="H380"/>
  <c r="H381"/>
  <c r="H383"/>
  <c r="H385"/>
  <c r="H299"/>
  <c r="H249"/>
  <c r="H251"/>
  <c r="H260"/>
  <c r="H258"/>
  <c r="H262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5"/>
  <c r="H426"/>
  <c r="H427"/>
  <c r="H428"/>
  <c r="H429"/>
  <c r="H430"/>
  <c r="H431"/>
  <c r="H432"/>
  <c r="H433"/>
  <c r="H435"/>
  <c r="H436"/>
  <c r="H438"/>
  <c r="H439"/>
  <c r="H440"/>
  <c r="H442"/>
  <c r="H443"/>
  <c r="H444"/>
  <c r="H445"/>
  <c r="F447"/>
  <c r="H447"/>
  <c r="F449"/>
  <c r="H449"/>
  <c r="H399"/>
  <c r="H387"/>
  <c r="H285"/>
  <c r="H286"/>
  <c r="H287"/>
  <c r="H288"/>
  <c r="H289"/>
  <c r="H290"/>
  <c r="H291"/>
  <c r="H292"/>
  <c r="H293"/>
  <c r="F294"/>
  <c r="H294"/>
  <c r="F295"/>
  <c r="H295"/>
  <c r="H296"/>
  <c r="H297"/>
  <c r="H283"/>
  <c r="H240"/>
  <c r="H244"/>
  <c r="H245"/>
  <c r="H228"/>
  <c r="H188"/>
  <c r="H186"/>
  <c r="H177"/>
  <c r="H178"/>
  <c r="H179"/>
  <c r="H180"/>
  <c r="H181"/>
  <c r="H182"/>
  <c r="H183"/>
  <c r="H174"/>
  <c r="H68"/>
  <c r="F69"/>
  <c r="H69"/>
  <c r="H72"/>
  <c r="F77"/>
  <c r="H77"/>
  <c r="H78"/>
  <c r="H83"/>
  <c r="F84"/>
  <c r="H84"/>
  <c r="H88"/>
  <c r="H89"/>
  <c r="H90"/>
  <c r="H91"/>
  <c r="H92"/>
  <c r="H93"/>
  <c r="H94"/>
  <c r="H95"/>
  <c r="H96"/>
  <c r="H98"/>
  <c r="H99"/>
  <c r="H100"/>
  <c r="H104"/>
  <c r="H105"/>
  <c r="H106"/>
  <c r="H107"/>
  <c r="H108"/>
  <c r="H109"/>
  <c r="H110"/>
  <c r="H111"/>
  <c r="H112"/>
  <c r="H65"/>
  <c r="H55"/>
  <c r="H58"/>
  <c r="H59"/>
  <c r="H61"/>
  <c r="H62"/>
  <c r="H54"/>
  <c r="F45"/>
  <c r="H45"/>
  <c r="H46"/>
  <c r="H50"/>
  <c r="H51"/>
  <c r="H43"/>
  <c r="G452"/>
  <c r="N402"/>
  <c r="F397"/>
  <c r="H397"/>
  <c r="F395"/>
  <c r="H395"/>
  <c r="F393"/>
  <c r="H393"/>
  <c r="F391"/>
  <c r="H391"/>
  <c r="F389"/>
  <c r="H389"/>
  <c r="D373"/>
  <c r="D365"/>
  <c r="D308"/>
  <c r="H157"/>
  <c r="H156"/>
  <c r="H155"/>
  <c r="H153"/>
  <c r="H151"/>
  <c r="F149"/>
  <c r="H149"/>
  <c r="F148"/>
  <c r="H148"/>
  <c r="F147"/>
  <c r="H147"/>
  <c r="H146"/>
  <c r="H144"/>
  <c r="H142"/>
  <c r="G130"/>
  <c r="G129"/>
  <c r="G128"/>
  <c r="G127"/>
  <c r="G120"/>
  <c r="B36"/>
  <c r="V35"/>
  <c r="U35"/>
  <c r="T35"/>
  <c r="S35"/>
  <c r="Q35"/>
  <c r="P35"/>
  <c r="B34"/>
  <c r="B33"/>
  <c r="B32"/>
  <c r="B31"/>
  <c r="B30"/>
  <c r="I243"/>
  <c r="G308"/>
  <c r="F491"/>
  <c r="F483"/>
  <c r="F496"/>
  <c r="F485"/>
  <c r="F487"/>
  <c r="F498"/>
  <c r="F493"/>
  <c r="F80"/>
  <c r="W501"/>
  <c r="W496"/>
  <c r="H140"/>
  <c r="H495"/>
  <c r="L513"/>
  <c r="L509"/>
  <c r="F481"/>
  <c r="H477"/>
  <c r="L511"/>
  <c r="L515"/>
  <c r="L517"/>
  <c r="L519"/>
  <c r="H454"/>
  <c r="M31"/>
  <c r="M33"/>
  <c r="M35"/>
  <c r="M36"/>
</calcChain>
</file>

<file path=xl/comments1.xml><?xml version="1.0" encoding="utf-8"?>
<comments xmlns="http://schemas.openxmlformats.org/spreadsheetml/2006/main">
  <authors>
    <author>Vincent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Indiquer le nom des pièces en SHAB ou SHON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Indiquer le nom des pièces en SHAB ou SHON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Si nécessaire rajouter des lignes avant ligne 10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Indiquer la surface des annexes</t>
        </r>
      </text>
    </comment>
    <comment ref="L25" authorId="0">
      <text>
        <r>
          <rPr>
            <b/>
            <sz val="9"/>
            <color indexed="81"/>
            <rFont val="Tahoma"/>
            <family val="2"/>
          </rPr>
          <t>Les cellules en vert sont à renseigner</t>
        </r>
      </text>
    </comment>
    <comment ref="M28" authorId="0">
      <text>
        <r>
          <rPr>
            <b/>
            <sz val="9"/>
            <color indexed="81"/>
            <rFont val="Tahoma"/>
            <family val="2"/>
          </rPr>
          <t>Les cellules en bleues ne sont pas à renseigner</t>
        </r>
      </text>
    </comment>
    <comment ref="P34" authorId="0">
      <text>
        <r>
          <rPr>
            <b/>
            <sz val="9"/>
            <color indexed="81"/>
            <rFont val="Tahoma"/>
            <family val="2"/>
          </rPr>
          <t>Indiquer "1" pour valider le choix de la rétention dans la case correspondante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Indiquez la longueur du portail</t>
        </r>
      </text>
    </comment>
    <comment ref="C70" authorId="0">
      <text>
        <r>
          <rPr>
            <b/>
            <sz val="9"/>
            <color indexed="81"/>
            <rFont val="Tahoma"/>
            <family val="2"/>
          </rPr>
          <t>Indiquez la surface concernée par les fondations</t>
        </r>
      </text>
    </comment>
    <comment ref="D70" authorId="0">
      <text>
        <r>
          <rPr>
            <b/>
            <sz val="9"/>
            <color indexed="81"/>
            <rFont val="Tahoma"/>
            <family val="2"/>
          </rPr>
          <t>Indiquez la profondeur des pieux</t>
        </r>
      </text>
    </comment>
    <comment ref="A72" authorId="0">
      <text>
        <r>
          <rPr>
            <b/>
            <sz val="9"/>
            <color indexed="81"/>
            <rFont val="Tahoma"/>
            <family val="2"/>
          </rPr>
          <t>Indiquer 1 dans la case pour valider le choix</t>
        </r>
      </text>
    </comment>
    <comment ref="C74" authorId="0">
      <text>
        <r>
          <rPr>
            <b/>
            <sz val="9"/>
            <color indexed="81"/>
            <rFont val="Tahoma"/>
            <family val="2"/>
          </rPr>
          <t>Indiquer l'épaisseur de la dalle</t>
        </r>
      </text>
    </comment>
    <comment ref="D74" authorId="0">
      <text>
        <r>
          <rPr>
            <b/>
            <sz val="9"/>
            <color indexed="81"/>
            <rFont val="Tahoma"/>
            <family val="2"/>
          </rPr>
          <t>La surface est donnée en ligne H15</t>
        </r>
      </text>
    </comment>
    <comment ref="C99" authorId="0">
      <text>
        <r>
          <rPr>
            <b/>
            <sz val="9"/>
            <color indexed="81"/>
            <rFont val="Tahoma"/>
            <family val="2"/>
          </rPr>
          <t>Nombre de marches</t>
        </r>
      </text>
    </comment>
    <comment ref="D99" authorId="0">
      <text>
        <r>
          <rPr>
            <b/>
            <sz val="9"/>
            <color indexed="81"/>
            <rFont val="Tahoma"/>
            <family val="2"/>
          </rPr>
          <t>Largeur de l'escalier</t>
        </r>
      </text>
    </comment>
    <comment ref="F119" authorId="0">
      <text>
        <r>
          <rPr>
            <b/>
            <sz val="9"/>
            <color indexed="81"/>
            <rFont val="Tahoma"/>
            <family val="2"/>
          </rPr>
          <t>Solution de chiffrage simplifiée en indiquant dans la cellule verte surface correspondante aux indications</t>
        </r>
      </text>
    </comment>
    <comment ref="A142" authorId="0">
      <text>
        <r>
          <rPr>
            <b/>
            <sz val="9"/>
            <color indexed="81"/>
            <rFont val="Tahoma"/>
            <family val="2"/>
          </rPr>
          <t>Valider le choix en indiquant "1"</t>
        </r>
      </text>
    </comment>
    <comment ref="C142" authorId="0">
      <text>
        <r>
          <rPr>
            <b/>
            <sz val="9"/>
            <color indexed="81"/>
            <rFont val="Tahoma"/>
            <family val="2"/>
          </rPr>
          <t>Indiquez la pente de la toiture en %</t>
        </r>
      </text>
    </comment>
    <comment ref="D142" authorId="0">
      <text>
        <r>
          <rPr>
            <b/>
            <sz val="9"/>
            <color indexed="81"/>
            <rFont val="Tahoma"/>
            <family val="2"/>
          </rPr>
          <t>Indiquez la surface de toiture</t>
        </r>
      </text>
    </comment>
    <comment ref="C155" authorId="0">
      <text>
        <r>
          <rPr>
            <b/>
            <sz val="9"/>
            <color indexed="81"/>
            <rFont val="Tahoma"/>
            <family val="2"/>
          </rPr>
          <t>Indiquez la pente de la toiture en %</t>
        </r>
      </text>
    </comment>
    <comment ref="D155" authorId="0">
      <text>
        <r>
          <rPr>
            <b/>
            <sz val="9"/>
            <color indexed="81"/>
            <rFont val="Tahoma"/>
            <family val="2"/>
          </rPr>
          <t>Indiquez la surface de toiture</t>
        </r>
      </text>
    </comment>
    <comment ref="C161" authorId="0">
      <text>
        <r>
          <rPr>
            <b/>
            <sz val="9"/>
            <color indexed="81"/>
            <rFont val="Tahoma"/>
            <family val="2"/>
          </rPr>
          <t>Indiquez la pente de la toiture en %</t>
        </r>
      </text>
    </comment>
    <comment ref="D161" authorId="0">
      <text>
        <r>
          <rPr>
            <b/>
            <sz val="9"/>
            <color indexed="81"/>
            <rFont val="Tahoma"/>
            <family val="2"/>
          </rPr>
          <t>Indiquez la surface de toiture</t>
        </r>
      </text>
    </comment>
    <comment ref="C167" authorId="0">
      <text>
        <r>
          <rPr>
            <b/>
            <sz val="9"/>
            <color indexed="81"/>
            <rFont val="Tahoma"/>
            <family val="2"/>
          </rPr>
          <t>Indiquer le nombre d'EP</t>
        </r>
      </text>
    </comment>
    <comment ref="D167" authorId="0">
      <text>
        <r>
          <rPr>
            <b/>
            <sz val="9"/>
            <color indexed="81"/>
            <rFont val="Tahoma"/>
            <family val="2"/>
          </rPr>
          <t>Indiquer la hauteur du bâtiment</t>
        </r>
      </text>
    </comment>
    <comment ref="C188" authorId="0">
      <text>
        <r>
          <rPr>
            <b/>
            <sz val="9"/>
            <color indexed="81"/>
            <rFont val="Tahoma"/>
            <family val="2"/>
          </rPr>
          <t>Largeur</t>
        </r>
      </text>
    </comment>
    <comment ref="D188" authorId="0">
      <text>
        <r>
          <rPr>
            <b/>
            <sz val="9"/>
            <color indexed="81"/>
            <rFont val="Tahoma"/>
            <family val="2"/>
          </rPr>
          <t>Hauteur</t>
        </r>
      </text>
    </comment>
    <comment ref="E188" authorId="0">
      <text>
        <r>
          <rPr>
            <b/>
            <sz val="9"/>
            <color indexed="81"/>
            <rFont val="Tahoma"/>
            <family val="2"/>
          </rPr>
          <t>Indiquer la quantité</t>
        </r>
      </text>
    </comment>
    <comment ref="C238" authorId="0">
      <text>
        <r>
          <rPr>
            <b/>
            <sz val="9"/>
            <color indexed="81"/>
            <rFont val="Tahoma"/>
            <family val="2"/>
          </rPr>
          <t>Nombre de marches</t>
        </r>
      </text>
    </comment>
    <comment ref="D238" authorId="0">
      <text>
        <r>
          <rPr>
            <b/>
            <sz val="9"/>
            <color indexed="81"/>
            <rFont val="Tahoma"/>
            <family val="2"/>
          </rPr>
          <t>Largeur de l'escalier</t>
        </r>
      </text>
    </comment>
    <comment ref="C304" authorId="0">
      <text>
        <r>
          <rPr>
            <b/>
            <sz val="9"/>
            <color indexed="81"/>
            <rFont val="Tahoma"/>
            <family val="2"/>
          </rPr>
          <t>Coéfficient appliqué au volume</t>
        </r>
      </text>
    </comment>
    <comment ref="E503" authorId="0">
      <text>
        <r>
          <rPr>
            <b/>
            <sz val="9"/>
            <color indexed="81"/>
            <rFont val="Tahoma"/>
            <family val="2"/>
          </rPr>
          <t>Indiquer le taux de frais notarial</t>
        </r>
      </text>
    </comment>
    <comment ref="C509" authorId="0">
      <text>
        <r>
          <rPr>
            <b/>
            <sz val="9"/>
            <color indexed="81"/>
            <rFont val="Tahoma"/>
            <family val="2"/>
          </rPr>
          <t>Valeur forfaitaire : 356</t>
        </r>
        <r>
          <rPr>
            <b/>
            <sz val="10"/>
            <color indexed="81"/>
            <rFont val="Tahoma"/>
            <family val="2"/>
          </rPr>
          <t>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9" authorId="0">
      <text>
        <r>
          <rPr>
            <b/>
            <sz val="9"/>
            <color indexed="81"/>
            <rFont val="Tahoma"/>
            <family val="2"/>
          </rPr>
          <t>(3% part communale)
(2,5% part départementale)
(0,4% part Archéologie)</t>
        </r>
      </text>
    </comment>
  </commentList>
</comments>
</file>

<file path=xl/sharedStrings.xml><?xml version="1.0" encoding="utf-8"?>
<sst xmlns="http://schemas.openxmlformats.org/spreadsheetml/2006/main" count="1064" uniqueCount="587">
  <si>
    <t>date :</t>
  </si>
  <si>
    <t>type de projet</t>
  </si>
  <si>
    <t>lieu :</t>
  </si>
  <si>
    <t>surface du projet</t>
  </si>
  <si>
    <t>Voiries et réseaux</t>
  </si>
  <si>
    <t>GROS ŒUVRE</t>
  </si>
  <si>
    <t>(surface de plancher)</t>
  </si>
  <si>
    <t>(surface de murs vide pour plein)</t>
  </si>
  <si>
    <t>Béton cellulaire 20 cm</t>
  </si>
  <si>
    <t>Béton cellulaire 37,5 cm</t>
  </si>
  <si>
    <t>Béton cellulaire 50 cm</t>
  </si>
  <si>
    <t>Béton de chanvre</t>
  </si>
  <si>
    <t>CHARPENTE METALLIQUE</t>
  </si>
  <si>
    <t>Le poids d'un bâtiment varie selon sa hauteur et son aménagement intérieur</t>
  </si>
  <si>
    <t>40 kg/m² pour 5,00 m de hauteur sans Pont roulant</t>
  </si>
  <si>
    <t>50 kg/m² pour 7,00 m de hauteur sans Pont roulant</t>
  </si>
  <si>
    <t>60 kg/m² pour 9,00 m de hauteur sans Pont roulant</t>
  </si>
  <si>
    <t>70 kg/m² pour 5,00 m de hauteur avec Pont roulant de 10T</t>
  </si>
  <si>
    <t>80 kg/m² pour 7,00 m de hauteur avec Pont roulant de 10T</t>
  </si>
  <si>
    <t>90 kg/m² pour 9,00 m de hauteur avec Pont roulant de 10T</t>
  </si>
  <si>
    <t>Structure charpente</t>
  </si>
  <si>
    <t>Plancher collaborant</t>
  </si>
  <si>
    <t>(surface de plancher )</t>
  </si>
  <si>
    <t>Auvent</t>
  </si>
  <si>
    <t>(surface horizontale)</t>
  </si>
  <si>
    <t>Charpente traditionnelle</t>
  </si>
  <si>
    <t>Solivage</t>
  </si>
  <si>
    <t>Charpente toiture plate</t>
  </si>
  <si>
    <t>Charpente fermette</t>
  </si>
  <si>
    <t>Charpente lamellé collé</t>
  </si>
  <si>
    <t>Pannes en laméllé collé</t>
  </si>
  <si>
    <t>COUVERTURE</t>
  </si>
  <si>
    <t>Tuiles terre cuite</t>
  </si>
  <si>
    <t>Toiture végétalisée</t>
  </si>
  <si>
    <t>Couverture en zinc</t>
  </si>
  <si>
    <t>BARDAGE</t>
  </si>
  <si>
    <t>Bardage métallique DP</t>
  </si>
  <si>
    <t>Bardage Bois pin autoclave</t>
  </si>
  <si>
    <t>Bardage Bois red cedar</t>
  </si>
  <si>
    <t>MENUISERIES EXTERIEURES</t>
  </si>
  <si>
    <t>METALLERIE</t>
  </si>
  <si>
    <t>AMENAGEMENTS INTERIEURES</t>
  </si>
  <si>
    <t>PLOMBERIE SANITAIRE</t>
  </si>
  <si>
    <t>Eau Chaude Solaire</t>
  </si>
  <si>
    <t>Pour un température de 18°C</t>
  </si>
  <si>
    <t>Pour un température de 15°C</t>
  </si>
  <si>
    <t>Pour une mise hors gel</t>
  </si>
  <si>
    <t>pour -30KW et 750 m3 maxi</t>
  </si>
  <si>
    <t>pour 30 à 60 KW et 1500 m3 maxi</t>
  </si>
  <si>
    <t>pour 60 à 90 KW et 2250 m3 maxi</t>
  </si>
  <si>
    <t>pour 90 à 150 KW et 3750 m3 maxi</t>
  </si>
  <si>
    <t>pour 150 à 200KW et 5000 m3 maxi</t>
  </si>
  <si>
    <t>pour 200 à 250 KW 6250 m3 maxi</t>
  </si>
  <si>
    <t>pour 250 à 300 KW et 7500 m3 maxi</t>
  </si>
  <si>
    <t>Chauffage électrique</t>
  </si>
  <si>
    <t>Convecteurs</t>
  </si>
  <si>
    <t>Géothermie</t>
  </si>
  <si>
    <t>Aérothermie</t>
  </si>
  <si>
    <t>En ventilo convecteur</t>
  </si>
  <si>
    <t>surface de plancher</t>
  </si>
  <si>
    <t>Bureau</t>
  </si>
  <si>
    <t>MONTANT DES TRAVAUX HT</t>
  </si>
  <si>
    <t>TVA</t>
  </si>
  <si>
    <t>Rétention des EP</t>
  </si>
  <si>
    <t>Panneau photovoltaique</t>
  </si>
  <si>
    <t>Menbrane photovoltaique</t>
  </si>
  <si>
    <t>Entrepot de stockage</t>
  </si>
  <si>
    <t>Entrepot de production</t>
  </si>
  <si>
    <t>Rafraichissement</t>
  </si>
  <si>
    <t>Groupe réversible chaud et froid</t>
  </si>
  <si>
    <t>Renforcement triple vitrage</t>
  </si>
  <si>
    <t>Ossature en lamellé collé</t>
  </si>
  <si>
    <t>Maison individuelle  RT2005</t>
  </si>
  <si>
    <t>Maison individuelle RT 2012 (BBC)</t>
  </si>
  <si>
    <t>Maison rénovation RT 2005</t>
  </si>
  <si>
    <t>Immeuble collectif neuf RT 2012</t>
  </si>
  <si>
    <t xml:space="preserve">Immeuble rénové RT 2012 </t>
  </si>
  <si>
    <t>Maison rénovation RT 2012</t>
  </si>
  <si>
    <t>Maison passive</t>
  </si>
  <si>
    <t>Maison positive</t>
  </si>
  <si>
    <t>Bâtiment tertiaire RT 2012</t>
  </si>
  <si>
    <t>Bâtiment industriel RT 2005</t>
  </si>
  <si>
    <t>Bâtiment industriel RT 2012</t>
  </si>
  <si>
    <t>Maisons passives</t>
  </si>
  <si>
    <t>Maisons BBC</t>
  </si>
  <si>
    <t>&lt;15kWh/m2/an en chauffage</t>
  </si>
  <si>
    <t>&lt;50kWh/m²/an en énergie totale</t>
  </si>
  <si>
    <t>VMC double flux avec récupérateur de chaleur</t>
  </si>
  <si>
    <t>45 à 75kWh/m2/an selon altitude</t>
  </si>
  <si>
    <t>Immeuble rénové collectif</t>
  </si>
  <si>
    <t>64 à 120kWh/m2/an selon altitude</t>
  </si>
  <si>
    <t>&lt;1500€</t>
  </si>
  <si>
    <t>&lt;1900€</t>
  </si>
  <si>
    <t>&lt;900€</t>
  </si>
  <si>
    <t>&lt;1200€</t>
  </si>
  <si>
    <t>&lt;600€</t>
  </si>
  <si>
    <t>&lt;800€</t>
  </si>
  <si>
    <t>&lt;1300€</t>
  </si>
  <si>
    <t>&lt;1000€</t>
  </si>
  <si>
    <t>Ratio de l'affaire</t>
  </si>
  <si>
    <t>Production de photovoltaique pour conpenser l'énergie consommée</t>
  </si>
  <si>
    <t>Isolation par l'extérieure 50 mm</t>
  </si>
  <si>
    <t>Chauffage bois</t>
  </si>
  <si>
    <t>Noues</t>
  </si>
  <si>
    <t>Bassin enherbé</t>
  </si>
  <si>
    <t>Bassin en béton</t>
  </si>
  <si>
    <t>enrobés imperméables</t>
  </si>
  <si>
    <t>structure alvéolaire</t>
  </si>
  <si>
    <t>Rétention utile en l/m²</t>
  </si>
  <si>
    <t>enrobé drainant</t>
  </si>
  <si>
    <t>€/m²</t>
  </si>
  <si>
    <t>€/m3</t>
  </si>
  <si>
    <t>DIMENSIONNEMENT D'UN BASSIN DE RETENTION DES EAUX PLUVIALES</t>
  </si>
  <si>
    <t>NOTE DE CALCUL</t>
  </si>
  <si>
    <t>Compléter :</t>
  </si>
  <si>
    <t>S :</t>
  </si>
  <si>
    <t>SURFACE TOTALE DE LA PARCELLE</t>
  </si>
  <si>
    <t xml:space="preserve">  m2</t>
  </si>
  <si>
    <t>Sa :</t>
  </si>
  <si>
    <t>SURFACE ACTIVE :</t>
  </si>
  <si>
    <t>Q :</t>
  </si>
  <si>
    <t xml:space="preserve">DEBIT DE FUITE    </t>
  </si>
  <si>
    <t xml:space="preserve">  l/s</t>
  </si>
  <si>
    <t>q :</t>
  </si>
  <si>
    <t>DEBIT SPECIFIQUE PAR RAPPORT A LA SURFACE ACTIVE</t>
  </si>
  <si>
    <t>q = 3600 x Q / Sa =</t>
  </si>
  <si>
    <t>mm/h</t>
  </si>
  <si>
    <t>ha :</t>
  </si>
  <si>
    <t>CAPACITE SPECIFIQUE DE STOCKAGE</t>
  </si>
  <si>
    <t>mm</t>
  </si>
  <si>
    <t>V :</t>
  </si>
  <si>
    <t>VOLUME TOTAL A STOCKER</t>
  </si>
  <si>
    <t>V = ha x Sa / 1000 =</t>
  </si>
  <si>
    <t>m3</t>
  </si>
  <si>
    <t>(enrobé + bâtiment)</t>
  </si>
  <si>
    <t>Q = 3 x S / 10000 =</t>
  </si>
  <si>
    <t>puissance en KW</t>
  </si>
  <si>
    <t xml:space="preserve">BET STRUCTURE BETON </t>
  </si>
  <si>
    <t xml:space="preserve">ETUDE SOL </t>
  </si>
  <si>
    <t>CONTRÔLE TECHNIQUE</t>
  </si>
  <si>
    <t xml:space="preserve">CONTRÔLE SPS </t>
  </si>
  <si>
    <t>OPC</t>
  </si>
  <si>
    <t>BET ACOUSTIQUE</t>
  </si>
  <si>
    <t>BET FLUIDES</t>
  </si>
  <si>
    <t>Achat terrain</t>
  </si>
  <si>
    <t>Raccordement ERDF</t>
  </si>
  <si>
    <t>Raccordement GRDF</t>
  </si>
  <si>
    <t>Raccordement FT</t>
  </si>
  <si>
    <t>Raccordement AEP</t>
  </si>
  <si>
    <t>(surface au sol)</t>
  </si>
  <si>
    <t>(surf au sol) ou surf de plancher</t>
  </si>
  <si>
    <t>Béton pour plancher collaborant</t>
  </si>
  <si>
    <t xml:space="preserve">CHARPENTE BOIS </t>
  </si>
  <si>
    <t>€/ml</t>
  </si>
  <si>
    <t>€/u</t>
  </si>
  <si>
    <t>€/kg</t>
  </si>
  <si>
    <t>Habitation</t>
  </si>
  <si>
    <t>(Périphérie du bâtiment)</t>
  </si>
  <si>
    <t>Monomur 20cm</t>
  </si>
  <si>
    <t>Monomur 30cm</t>
  </si>
  <si>
    <t>Monomur 40cm</t>
  </si>
  <si>
    <t>Monomur 50cm</t>
  </si>
  <si>
    <t>Enduit chaux</t>
  </si>
  <si>
    <t>Bac acier</t>
  </si>
  <si>
    <t>Cloisons de distribution</t>
  </si>
  <si>
    <t>Faux plafond</t>
  </si>
  <si>
    <t>Isolant horizontal</t>
  </si>
  <si>
    <t>Peinture</t>
  </si>
  <si>
    <t>Carrelage au sol</t>
  </si>
  <si>
    <t>Faience</t>
  </si>
  <si>
    <t>(Surf doublage + 2fois cloisons + FPlafond)</t>
  </si>
  <si>
    <t>Plancher dalle pleine</t>
  </si>
  <si>
    <t>Plancher poutrelle/hourdis</t>
  </si>
  <si>
    <t>Plancher prédalle ou dalle alvéolaire</t>
  </si>
  <si>
    <t>Poutre et poteaux intermédiaires</t>
  </si>
  <si>
    <t>(tous les 50 m²)</t>
  </si>
  <si>
    <t>Contreventement OSB 19 mm</t>
  </si>
  <si>
    <t>Pare pluie</t>
  </si>
  <si>
    <t>Isolation par l'extérieure 100 mm</t>
  </si>
  <si>
    <t>Isolation par l'extérieure 150 mm</t>
  </si>
  <si>
    <t>Isolation par l'extérieure 200 mm</t>
  </si>
  <si>
    <t>Les prestations selon le niveau de performance sont les suivantes</t>
  </si>
  <si>
    <t>Parquet flottant</t>
  </si>
  <si>
    <t>Parquet massif</t>
  </si>
  <si>
    <t>haute qualité environnemental</t>
  </si>
  <si>
    <t>Cloisons avec isolant LV</t>
  </si>
  <si>
    <t>qualité BBC ou RT2012 :</t>
  </si>
  <si>
    <t>Plafond isolé en comble de 300 mm avec PV indépendant</t>
  </si>
  <si>
    <t>Doublage demi-styl LV de 160mm avec PV indépendant</t>
  </si>
  <si>
    <t>Doublage demi-styl Laine Minérale de 200mm avec PV indépendant</t>
  </si>
  <si>
    <t>Plafond isolé en comble de 400 mm avec PV indépendant</t>
  </si>
  <si>
    <t>Cloisons avec isolant laine minérale</t>
  </si>
  <si>
    <t>(Niveau HQE, Passif, positif)</t>
  </si>
  <si>
    <t>Le choix des prestations intérieures est aussi à choisir en fonction des matériaux de structures définis</t>
  </si>
  <si>
    <t>Air comprimé</t>
  </si>
  <si>
    <t>(En périphérie des murs + traversées)</t>
  </si>
  <si>
    <t>Le calcul d'une puissance se donnera avec le volume à chauffer et un coefficient variable selon les températures à atteindre</t>
  </si>
  <si>
    <t>Démolition</t>
  </si>
  <si>
    <t>(surface d'ouvertures à créer)</t>
  </si>
  <si>
    <t>Maçonnerie</t>
  </si>
  <si>
    <t>Démolition des planchers</t>
  </si>
  <si>
    <t>Dépose des menuiseries</t>
  </si>
  <si>
    <t>(à l'unité)</t>
  </si>
  <si>
    <t>Dépose appareils sanitaires</t>
  </si>
  <si>
    <t>Dépose appareils électriques</t>
  </si>
  <si>
    <t>TERRASSEMENT</t>
  </si>
  <si>
    <t>Chaudière Gaz à condensation</t>
  </si>
  <si>
    <t>Réalisation d'une chaufferie</t>
  </si>
  <si>
    <t>système de sécurité, ect….</t>
  </si>
  <si>
    <t>comprenant la cheminée, les vannes,</t>
  </si>
  <si>
    <t>pour -30KW prévoir 6T</t>
  </si>
  <si>
    <t>pour -60 KW prévoir 9T</t>
  </si>
  <si>
    <t>pour -90 KW prévoir 12T</t>
  </si>
  <si>
    <t>pour -150 KW prévoir 15T</t>
  </si>
  <si>
    <t>pour -200KW prévoir 20T</t>
  </si>
  <si>
    <t>pour -250 KW prévoir 25T</t>
  </si>
  <si>
    <t>pour -300 KW prévoir 30T</t>
  </si>
  <si>
    <t>€/T</t>
  </si>
  <si>
    <t>Pour un température de 22°C</t>
  </si>
  <si>
    <t>Surface des locaux à chauffer (m²)</t>
  </si>
  <si>
    <t>Hauteur des locaux (ml)</t>
  </si>
  <si>
    <t>volume à chauffer (m3)</t>
  </si>
  <si>
    <t>TOTAL</t>
  </si>
  <si>
    <t>Réseau de chauffage</t>
  </si>
  <si>
    <t>Sèche-serviette eau chaude</t>
  </si>
  <si>
    <t>Sèche-serviette mixte</t>
  </si>
  <si>
    <t>Aérothermes à eau chaude</t>
  </si>
  <si>
    <t>Puissance chauffage</t>
  </si>
  <si>
    <t>Nb sdb</t>
  </si>
  <si>
    <t>Destratificateurs</t>
  </si>
  <si>
    <t>Nb/volume</t>
  </si>
  <si>
    <t>Sèche-serviette électrique</t>
  </si>
  <si>
    <t>Aérothermes électrique</t>
  </si>
  <si>
    <t>Surf planc. chauf.</t>
  </si>
  <si>
    <t>Surf plaf. chauf.</t>
  </si>
  <si>
    <t>Cassattes rayonnantes</t>
  </si>
  <si>
    <t>PAC Air/Air</t>
  </si>
  <si>
    <t>PAC Air/Eau basse température</t>
  </si>
  <si>
    <t>PAC Air/Eau haute température</t>
  </si>
  <si>
    <t>PAC Eau glycolée/Eau</t>
  </si>
  <si>
    <t>Captage horizontal</t>
  </si>
  <si>
    <t>Captage vertical</t>
  </si>
  <si>
    <t>PAC au sol</t>
  </si>
  <si>
    <t>Nb/forage</t>
  </si>
  <si>
    <t>Surf. au sol</t>
  </si>
  <si>
    <t>plancher chauffant avec isolant</t>
  </si>
  <si>
    <t>plancher chauffant élec. avec isolant</t>
  </si>
  <si>
    <t>Rafraichissement système split</t>
  </si>
  <si>
    <t>Climatisation cassettes et ventilo</t>
  </si>
  <si>
    <t>surface de zone à traiter</t>
  </si>
  <si>
    <t>(surface de toiture)</t>
  </si>
  <si>
    <t>Collectif</t>
  </si>
  <si>
    <t>Espaces verts et arborés</t>
  </si>
  <si>
    <t>Clôture</t>
  </si>
  <si>
    <t>simple torsion</t>
  </si>
  <si>
    <t>Mailles soudé</t>
  </si>
  <si>
    <t>Motorisation</t>
  </si>
  <si>
    <t>ESPACES VERTS - CLOTURE - PORTAIL</t>
  </si>
  <si>
    <t>ratio HT constaté</t>
  </si>
  <si>
    <t>Bâtiment tertiaire RT 2005</t>
  </si>
  <si>
    <t>MAITRISE D'ŒUVRE</t>
  </si>
  <si>
    <t>Sur le lot Gros œuvre</t>
  </si>
  <si>
    <t>Sur lots techniques</t>
  </si>
  <si>
    <t>For</t>
  </si>
  <si>
    <t>selon taille du projet</t>
  </si>
  <si>
    <t>Frais Notaires sur terrain</t>
  </si>
  <si>
    <t>Achat propriété immobilière</t>
  </si>
  <si>
    <t>FRAIS ANNEXES TECHNIQUES</t>
  </si>
  <si>
    <t>FRAIS ANNEXES ADMINISTRATIFS</t>
  </si>
  <si>
    <t>CALCUL DU COUT GLOBAL</t>
  </si>
  <si>
    <t>MONTANT TOTAL INVESTISSEMENT</t>
  </si>
  <si>
    <t>TRAVAUX</t>
  </si>
  <si>
    <t>FONCIER</t>
  </si>
  <si>
    <t>TOTAL HT</t>
  </si>
  <si>
    <t>TOTAL TTC</t>
  </si>
  <si>
    <t>Ascenseurs</t>
  </si>
  <si>
    <t>€/U</t>
  </si>
  <si>
    <t>Maison individuelle bois (RT 2005)</t>
  </si>
  <si>
    <t>&lt;1150€</t>
  </si>
  <si>
    <t>Maison individuelle bois (RT 2012)</t>
  </si>
  <si>
    <t>Maison rénovation passive</t>
  </si>
  <si>
    <t>Immeuble collectif neuf RT 2005</t>
  </si>
  <si>
    <t xml:space="preserve">Immeuble rénové RT 2005 </t>
  </si>
  <si>
    <t>Bâtiment tertiaire positif</t>
  </si>
  <si>
    <t>&lt;3000€</t>
  </si>
  <si>
    <t>Bâtiment tertiaire HQE</t>
  </si>
  <si>
    <t>&lt;2000€</t>
  </si>
  <si>
    <t>Portes de distribution</t>
  </si>
  <si>
    <t>(compter à l'unité)</t>
  </si>
  <si>
    <t>(4 m² par logement ou 1,5 m²/pers)</t>
  </si>
  <si>
    <t>Portillon 1 vantail</t>
  </si>
  <si>
    <t>Isolation sous dallage 150 mm</t>
  </si>
  <si>
    <t>Escalier béton</t>
  </si>
  <si>
    <t>Dépose charpente</t>
  </si>
  <si>
    <t>Démolition des intérieurs</t>
  </si>
  <si>
    <r>
      <t xml:space="preserve">Sillo </t>
    </r>
    <r>
      <rPr>
        <b/>
        <i/>
        <sz val="9"/>
        <color indexed="19"/>
        <rFont val="Calibri"/>
        <family val="2"/>
      </rPr>
      <t>(1T environ 1,42 m3)</t>
    </r>
  </si>
  <si>
    <r>
      <t>CHAUFFAGE</t>
    </r>
    <r>
      <rPr>
        <sz val="10"/>
        <color indexed="9"/>
        <rFont val="Calibri"/>
        <family val="2"/>
      </rPr>
      <t xml:space="preserve"> </t>
    </r>
  </si>
  <si>
    <r>
      <t xml:space="preserve">ELECTRICITE </t>
    </r>
    <r>
      <rPr>
        <sz val="10"/>
        <color indexed="9"/>
        <rFont val="Calibri"/>
        <family val="2"/>
      </rPr>
      <t>(joint répartition départementale des rendements pour le photovoltaïques)</t>
    </r>
  </si>
  <si>
    <t>Note de calcul :</t>
  </si>
  <si>
    <t>(tous les 20 m²)</t>
  </si>
  <si>
    <t>Murs en béton : épaisseur 25 cm</t>
  </si>
  <si>
    <t>Murs en béton : épaisseur 20 cm</t>
  </si>
  <si>
    <t>Murs en béton : épaisseur 18 cm</t>
  </si>
  <si>
    <t>(tous les 25 m²+ poteaux ts les 3,00m)</t>
  </si>
  <si>
    <t>Isolation dans mur de 150 ou 180 mm</t>
  </si>
  <si>
    <t>Ossature bois avec structure principale</t>
  </si>
  <si>
    <t>à joint debout</t>
  </si>
  <si>
    <t>Cabines</t>
  </si>
  <si>
    <t>Portes et équipemets d'étage</t>
  </si>
  <si>
    <t>Revêtement de sol souple</t>
  </si>
  <si>
    <t>BUDGET DE BASE</t>
  </si>
  <si>
    <t>écart</t>
  </si>
  <si>
    <t>Appareils sanitaires</t>
  </si>
  <si>
    <t>WC handicapés</t>
  </si>
  <si>
    <t>Bac à douches</t>
  </si>
  <si>
    <t>Lavabos sur colonnes</t>
  </si>
  <si>
    <t>Lave-mains</t>
  </si>
  <si>
    <t>Baignoires</t>
  </si>
  <si>
    <t>Portes de douches</t>
  </si>
  <si>
    <t>Alimentations EC/EF</t>
  </si>
  <si>
    <t>Evacuation EU/EV</t>
  </si>
  <si>
    <t>Décomposition installation électrique selon la norme NFC15-100</t>
  </si>
  <si>
    <t>Tableau électrique (TGBT)</t>
  </si>
  <si>
    <t>Alimentation volets roulants ou autres</t>
  </si>
  <si>
    <t>Mise à la terre</t>
  </si>
  <si>
    <t>Terre équipotentielle</t>
  </si>
  <si>
    <t>Prises 16A</t>
  </si>
  <si>
    <t>Prises 20A</t>
  </si>
  <si>
    <t>Prises 32A</t>
  </si>
  <si>
    <t>Interrupteurs Simple Alumage</t>
  </si>
  <si>
    <t>Interrupteurs Va et Vient</t>
  </si>
  <si>
    <t>Détecteur de présence</t>
  </si>
  <si>
    <t>Courant Fort</t>
  </si>
  <si>
    <t>Courant Faible</t>
  </si>
  <si>
    <t>Eclairage de secours</t>
  </si>
  <si>
    <t>BAES 60 lumens</t>
  </si>
  <si>
    <t>BAES 45 lumens</t>
  </si>
  <si>
    <t>Système de sécurité incendie</t>
  </si>
  <si>
    <t>Téléphonie</t>
  </si>
  <si>
    <t>Câble téléphone</t>
  </si>
  <si>
    <t xml:space="preserve">Centrale incendie </t>
  </si>
  <si>
    <t xml:space="preserve">Détecteur automatique de fumée </t>
  </si>
  <si>
    <t xml:space="preserve">Détecteur automatique de chaleur </t>
  </si>
  <si>
    <t>Déclencheur manuel</t>
  </si>
  <si>
    <t>Sonnerie d'alarme U</t>
  </si>
  <si>
    <t xml:space="preserve">Signal lumineux d'alarme </t>
  </si>
  <si>
    <t xml:space="preserve">Report d'alarme incendie </t>
  </si>
  <si>
    <t xml:space="preserve">Etiquettage </t>
  </si>
  <si>
    <t xml:space="preserve">Câblages, fileries </t>
  </si>
  <si>
    <t>Tableau de réseau intérieur</t>
  </si>
  <si>
    <t xml:space="preserve">Fourreaux pour réseau intérieur </t>
  </si>
  <si>
    <t>Fourreaux alimentation</t>
  </si>
  <si>
    <t xml:space="preserve">10 PAIRES </t>
  </si>
  <si>
    <t>Câble 4 paires cat 6</t>
  </si>
  <si>
    <t xml:space="preserve">Terre informatique </t>
  </si>
  <si>
    <t>Sous Total</t>
  </si>
  <si>
    <t>Choix du TGBT</t>
  </si>
  <si>
    <t>Entre 200 et 400 m²</t>
  </si>
  <si>
    <t>Entre 401 et 600 m²</t>
  </si>
  <si>
    <t>Entre 601 et 800 m²</t>
  </si>
  <si>
    <t>Entre 801 et 1000 m²</t>
  </si>
  <si>
    <t>Entre 1001 et 1500 m²</t>
  </si>
  <si>
    <t>Entre 1501 et 2000 m²</t>
  </si>
  <si>
    <t>Entre 2001 et 4000 m²</t>
  </si>
  <si>
    <t>&lt;4001m²</t>
  </si>
  <si>
    <t>&lt;200 m²</t>
  </si>
  <si>
    <t>Revêtement de voirie</t>
  </si>
  <si>
    <t>Réseau EP/EU</t>
  </si>
  <si>
    <t>Dimensions</t>
  </si>
  <si>
    <t>Masse</t>
  </si>
  <si>
    <t>IPE</t>
  </si>
  <si>
    <t>h</t>
  </si>
  <si>
    <t>b</t>
  </si>
  <si>
    <t>a</t>
  </si>
  <si>
    <t>e</t>
  </si>
  <si>
    <t>r</t>
  </si>
  <si>
    <t>h1</t>
  </si>
  <si>
    <t>Kg/m</t>
  </si>
  <si>
    <t>Traverses</t>
  </si>
  <si>
    <t>Longueur</t>
  </si>
  <si>
    <t>Poteaux structures</t>
  </si>
  <si>
    <t>Potelet</t>
  </si>
  <si>
    <t>Décomposition de la charpente</t>
  </si>
  <si>
    <t>type</t>
  </si>
  <si>
    <t>Kg</t>
  </si>
  <si>
    <t>€/m2</t>
  </si>
  <si>
    <t>Longueur 5,00 m</t>
  </si>
  <si>
    <t>Brise-soleil fixe</t>
  </si>
  <si>
    <t>Eviers</t>
  </si>
  <si>
    <t>Informatique RJ 45</t>
  </si>
  <si>
    <t>Surface</t>
  </si>
  <si>
    <t>RATIO SUR SHON</t>
  </si>
  <si>
    <t>INSTALLATION DE CHANTIER</t>
  </si>
  <si>
    <t>Clôture de chantier</t>
  </si>
  <si>
    <t>Bennes de chantier</t>
  </si>
  <si>
    <t>Panneau de chantier</t>
  </si>
  <si>
    <t>Bungalows de chantier (vestiaires, bureaux, ect…)</t>
  </si>
  <si>
    <t>WC de chantier</t>
  </si>
  <si>
    <t>€/ms</t>
  </si>
  <si>
    <t>€/j</t>
  </si>
  <si>
    <t>Grue fixe (frais de transport, d'installation et de contrôle)</t>
  </si>
  <si>
    <t>fonctionnement mensuel</t>
  </si>
  <si>
    <t>Paement brique</t>
  </si>
  <si>
    <t>Portail coulissant</t>
  </si>
  <si>
    <t>Alimentation diverses</t>
  </si>
  <si>
    <t>Blocs 6PC-2RJ45</t>
  </si>
  <si>
    <t>Blocs 3PC-1RJ45</t>
  </si>
  <si>
    <t>Etanchéité + isolant 160 mm</t>
  </si>
  <si>
    <t>Enduit monocouche</t>
  </si>
  <si>
    <t>Dalle 60x60 cm</t>
  </si>
  <si>
    <t>BBIO pour PC</t>
  </si>
  <si>
    <t>Séparateur hydrocarbure</t>
  </si>
  <si>
    <t>Centrale incendie intrusion</t>
  </si>
  <si>
    <t>Détecteur</t>
  </si>
  <si>
    <t>Cuve en polyétylène</t>
  </si>
  <si>
    <t>Taxe de raccordement EU</t>
  </si>
  <si>
    <t xml:space="preserve">TLE : Formule de calcul : TLE = (VF/m² x SHON en m²) x taux </t>
  </si>
  <si>
    <t>Mezzanine</t>
  </si>
  <si>
    <t>Démolition de bardage métallique</t>
  </si>
  <si>
    <t>Mur façade du long pan</t>
  </si>
  <si>
    <t>y compris cloison et structure métallique</t>
  </si>
  <si>
    <t>Porte escalier de secours</t>
  </si>
  <si>
    <t>Plaque de fibro-ciment</t>
  </si>
  <si>
    <t>Démolition du conduit de fumée de la chaudière</t>
  </si>
  <si>
    <t>Note de calcul à fournir</t>
  </si>
  <si>
    <t>Descentes Eaux pluviales</t>
  </si>
  <si>
    <t>Rideaux métalliques</t>
  </si>
  <si>
    <t>Cloisons modulaires en aluminium</t>
  </si>
  <si>
    <t>Hauteur 2,60 m</t>
  </si>
  <si>
    <t>Chauffe-eau 250L</t>
  </si>
  <si>
    <t>Réutilisation des épingles à gaz</t>
  </si>
  <si>
    <t xml:space="preserve"> Déplacement d'un aérothermes gaz direct</t>
  </si>
  <si>
    <t>VMC simple flux</t>
  </si>
  <si>
    <t>pour les vestiaires</t>
  </si>
  <si>
    <t>Mise ax normes et protection complémentaires</t>
  </si>
  <si>
    <t>Coup de poing d'URGENCE</t>
  </si>
  <si>
    <t>Chemin de câble pour forces motrices</t>
  </si>
  <si>
    <t>Dépose et repose des coffrets de Prises</t>
  </si>
  <si>
    <t>Luminaires Atelier</t>
  </si>
  <si>
    <t>Luminaires bureaux</t>
  </si>
  <si>
    <t>Urinoir</t>
  </si>
  <si>
    <t>Radiateur</t>
  </si>
  <si>
    <t>Déplacement du conduit de fumée</t>
  </si>
  <si>
    <t>€/Ens</t>
  </si>
  <si>
    <t>Réseau d'échappement des gaz</t>
  </si>
  <si>
    <t>Appareil d'extraction des fumées</t>
  </si>
  <si>
    <t>Longueur/épaisseur</t>
  </si>
  <si>
    <t>Fondations isolées</t>
  </si>
  <si>
    <t>Fondations superficielles en rigoles</t>
  </si>
  <si>
    <t>Noue de récupération des EP</t>
  </si>
  <si>
    <t>Pannes (espacées tous les 1,50 m)</t>
  </si>
  <si>
    <t>Brise soleil orientable</t>
  </si>
  <si>
    <t>Cloisons acoustique pliante</t>
  </si>
  <si>
    <t>Salle de cours du sous-sol</t>
  </si>
  <si>
    <t>Salle de classe bâtiment annexe</t>
  </si>
  <si>
    <t xml:space="preserve">ESTIMATION SOMMAIRE PREVISIONNELLE </t>
  </si>
  <si>
    <t>Nom du Maitre d'Ouvrage</t>
  </si>
  <si>
    <t>Surface totale</t>
  </si>
  <si>
    <t>Surface de plancher</t>
  </si>
  <si>
    <t>SHOB</t>
  </si>
  <si>
    <t>Décapage de la terre végétale</t>
  </si>
  <si>
    <t>Hérisson ou réglage fin 0/31,5</t>
  </si>
  <si>
    <r>
      <t xml:space="preserve">Renforcement ds sols </t>
    </r>
    <r>
      <rPr>
        <i/>
        <sz val="10"/>
        <rFont val="Calibri"/>
        <family val="2"/>
      </rPr>
      <t>(cloutage ou reconstitution)</t>
    </r>
  </si>
  <si>
    <t>Constitution des plate-forme en concassé 0/80</t>
  </si>
  <si>
    <t>Nettoyage du terrain</t>
  </si>
  <si>
    <t>Arrachage des végétaux</t>
  </si>
  <si>
    <t>Surface de la parcelle</t>
  </si>
  <si>
    <t>Réseau EDF/GDF/FT/AEP</t>
  </si>
  <si>
    <t>(depuis la limite de proprité)</t>
  </si>
  <si>
    <t>(Enrobé)</t>
  </si>
  <si>
    <t>(autour du bâtiment)</t>
  </si>
  <si>
    <t>(Débit 3,6 L)</t>
  </si>
  <si>
    <t>Engazonnement</t>
  </si>
  <si>
    <t>Arbres</t>
  </si>
  <si>
    <t>Longueur 1,00 m</t>
  </si>
  <si>
    <t>comprenant fouilles+béton+aciers</t>
  </si>
  <si>
    <t>Fondations spéciales : type pieux</t>
  </si>
  <si>
    <t>Longrines ou murêt de fondation : ht 60 cm</t>
  </si>
  <si>
    <t>Isolation périphérique 100 mm</t>
  </si>
  <si>
    <t>Largeur</t>
  </si>
  <si>
    <t>hauteur</t>
  </si>
  <si>
    <t>Longueur ou quantité</t>
  </si>
  <si>
    <t>Dallage sur terre plein</t>
  </si>
  <si>
    <t>Dallage portée</t>
  </si>
  <si>
    <t>RDC</t>
  </si>
  <si>
    <t>ETAGE</t>
  </si>
  <si>
    <t>Surface selon les plans</t>
  </si>
  <si>
    <t>Casquette de toiture en béton</t>
  </si>
  <si>
    <t>Plancher poutrelle/hourdis isolant</t>
  </si>
  <si>
    <t>épaisseur 16+4 cm</t>
  </si>
  <si>
    <t>épaisseur 15+5 cm</t>
  </si>
  <si>
    <t>Murs en parpaing : épaisseur 20 cm</t>
  </si>
  <si>
    <t>à déduire</t>
  </si>
  <si>
    <t>Radier</t>
  </si>
  <si>
    <t>Cage d'ascenseur                                            Mur et fosse</t>
  </si>
  <si>
    <t>Dépose et désamiantage de couverture</t>
  </si>
  <si>
    <t xml:space="preserve">Démolition de mur </t>
  </si>
  <si>
    <t>Démolition de cloison</t>
  </si>
  <si>
    <t>Démolition de plafond</t>
  </si>
  <si>
    <t>y compris évacuation</t>
  </si>
  <si>
    <t>Chiffrage solution 1</t>
  </si>
  <si>
    <t>Surf. Bât.</t>
  </si>
  <si>
    <t>Nombre</t>
  </si>
  <si>
    <t>Hauteur ou longueur</t>
  </si>
  <si>
    <t>Panneau sandwich épaisseur 100 mm</t>
  </si>
  <si>
    <t>Isolation type shédisol sous bac acier</t>
  </si>
  <si>
    <t>Accessoires de finitions (couvertine, bavette,etc…)</t>
  </si>
  <si>
    <t>Encadrement d'ouvertures</t>
  </si>
  <si>
    <t>(à l'unité d'ouvertures)</t>
  </si>
  <si>
    <t>ALUMINIUM</t>
  </si>
  <si>
    <t>BOIS 3 PLIS</t>
  </si>
  <si>
    <t>PVC</t>
  </si>
  <si>
    <t>MIXTE BOIS/ALU</t>
  </si>
  <si>
    <t>2 vantaux coulissant</t>
  </si>
  <si>
    <t>Fixe</t>
  </si>
  <si>
    <t>OF 1 vantail</t>
  </si>
  <si>
    <t>OF 2 vantaux</t>
  </si>
  <si>
    <t>ACIER A RUPTURE THERMIQUE</t>
  </si>
  <si>
    <t>Porte à 1 vantail vitré</t>
  </si>
  <si>
    <t>Porte à 2 vantaux vitrés</t>
  </si>
  <si>
    <t>Occultations par volets roulants</t>
  </si>
  <si>
    <t>Porte à 2 vantaux en panneau sandwich</t>
  </si>
  <si>
    <t>Porte à 1 vantail en panneau sandwich</t>
  </si>
  <si>
    <t>Porte à 1 vantail CF 1h</t>
  </si>
  <si>
    <t>Porte à 2 vantaux CF 1h</t>
  </si>
  <si>
    <t>Portes sectionnelles</t>
  </si>
  <si>
    <t>Portes rapide</t>
  </si>
  <si>
    <t>Escalier métallique avec garde-corps tôlé</t>
  </si>
  <si>
    <t>Garde-corps métallique tôlé</t>
  </si>
  <si>
    <t>Garde-corps métallique à barreaudage</t>
  </si>
  <si>
    <t>Escalier métallique avec garde-corps tôlé et marches bois</t>
  </si>
  <si>
    <t>Garde-corps vitré</t>
  </si>
  <si>
    <t>600kg</t>
  </si>
  <si>
    <t>Doublage sur ossature métallique avec isolant de 15 cm</t>
  </si>
  <si>
    <t>Doublage isolant collé de 16 cm</t>
  </si>
  <si>
    <t>Epaisseur 72/48</t>
  </si>
  <si>
    <t>Epaisseur 98/48</t>
  </si>
  <si>
    <t>Cloisons séparative SAD</t>
  </si>
  <si>
    <t>Epaisseur 120 mm</t>
  </si>
  <si>
    <t>Epaisseur 180 mm</t>
  </si>
  <si>
    <t>Plafond plaque de plâtre BA13</t>
  </si>
  <si>
    <t>CF 1h</t>
  </si>
  <si>
    <t>Laine de vaerre 200 mm</t>
  </si>
  <si>
    <t>Laine de vaerre 300 mm</t>
  </si>
  <si>
    <t>RT2012</t>
  </si>
  <si>
    <t>ARCHITECTE</t>
  </si>
  <si>
    <t>ECONOMISTE</t>
  </si>
  <si>
    <t>TOTAL SURFACE DE PLANCHER (SHON)</t>
  </si>
  <si>
    <t>Cout d'acquisition du terrain =</t>
  </si>
  <si>
    <t>€</t>
  </si>
  <si>
    <r>
      <t>m²</t>
    </r>
    <r>
      <rPr>
        <b/>
        <vertAlign val="subscript"/>
        <sz val="10"/>
        <color indexed="8"/>
        <rFont val="Calibri"/>
        <family val="2"/>
      </rPr>
      <t>SHON</t>
    </r>
  </si>
  <si>
    <t>Cout de la construction en chantier participatif =</t>
  </si>
  <si>
    <t>Coût en chantier "classique" =</t>
  </si>
  <si>
    <t>Ameublement &amp; électroménager  =</t>
  </si>
  <si>
    <t>TOTAL =</t>
  </si>
  <si>
    <t>Superficie bâtiment =</t>
  </si>
  <si>
    <t>m²</t>
  </si>
  <si>
    <t>Salaire gérant 1</t>
  </si>
  <si>
    <t>€/mois</t>
  </si>
  <si>
    <t>€/an</t>
  </si>
  <si>
    <t>Pour un salaire brut de =</t>
  </si>
  <si>
    <t xml:space="preserve">€/mois, soit un salaire net de </t>
  </si>
  <si>
    <t>Superficie terrain =</t>
  </si>
  <si>
    <t>Salaire gérant 2</t>
  </si>
  <si>
    <t>Entretien du bâtiment</t>
  </si>
  <si>
    <t>D'après le ministère du DD =</t>
  </si>
  <si>
    <t>€HT/m².an, soit TTC</t>
  </si>
  <si>
    <t>€/m².an</t>
  </si>
  <si>
    <t>Nettoyage</t>
  </si>
  <si>
    <t>Assurance</t>
  </si>
  <si>
    <t>Charge</t>
  </si>
  <si>
    <t xml:space="preserve">Consommation électrique de </t>
  </si>
  <si>
    <t>kWh/m².an, pour un prix de</t>
  </si>
  <si>
    <t>€/kWh</t>
  </si>
  <si>
    <t>TOTAL sans emprunt =</t>
  </si>
  <si>
    <t>Durée emprunt =</t>
  </si>
  <si>
    <t>ans =</t>
  </si>
  <si>
    <t>mois</t>
  </si>
  <si>
    <t>Taux d'emprunt =</t>
  </si>
  <si>
    <t>Investissement total =</t>
  </si>
  <si>
    <t>Mensualité =</t>
  </si>
  <si>
    <t>Valeur totale empruntée =</t>
  </si>
  <si>
    <t>Coût de l'emprunt =</t>
  </si>
  <si>
    <t>Investissement</t>
  </si>
  <si>
    <t>Entretien</t>
  </si>
  <si>
    <t>Emprunt</t>
  </si>
  <si>
    <t>SOURCE DU DOCUMENT</t>
  </si>
</sst>
</file>

<file path=xl/styles.xml><?xml version="1.0" encoding="utf-8"?>
<styleSheet xmlns="http://schemas.openxmlformats.org/spreadsheetml/2006/main">
  <numFmts count="11">
    <numFmt numFmtId="164" formatCode="#,##0.00\ [$€-40C];[Red]\-#,##0.00\ [$€-40C]"/>
    <numFmt numFmtId="165" formatCode="#,##0.00\ &quot;€&quot;"/>
    <numFmt numFmtId="166" formatCode="#,##0.0"/>
    <numFmt numFmtId="167" formatCode="#,##0.00\ _€"/>
    <numFmt numFmtId="168" formatCode="#,##0_ ;[Red]\-#,##0\ "/>
    <numFmt numFmtId="169" formatCode="#,##0.000"/>
    <numFmt numFmtId="170" formatCode="#,##0\ _€"/>
    <numFmt numFmtId="171" formatCode="0.0%"/>
    <numFmt numFmtId="172" formatCode="#,##0\ &quot;€&quot;"/>
    <numFmt numFmtId="173" formatCode="[$-40C]d\-mmm\-yy;@"/>
    <numFmt numFmtId="174" formatCode="#,##0\ [$€-40C];[Red]\-#,##0\ [$€-40C]"/>
  </numFmts>
  <fonts count="77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i/>
      <sz val="9"/>
      <color indexed="19"/>
      <name val="Calibri"/>
      <family val="2"/>
    </font>
    <font>
      <sz val="10"/>
      <color indexed="9"/>
      <name val="Calibri"/>
      <family val="2"/>
    </font>
    <font>
      <sz val="8"/>
      <name val="Verdana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i/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bscript"/>
      <sz val="10"/>
      <color indexed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20"/>
      <name val="Calibri"/>
      <family val="2"/>
      <scheme val="minor"/>
    </font>
    <font>
      <i/>
      <sz val="8"/>
      <color indexed="2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sz val="10"/>
      <color indexed="19"/>
      <name val="Calibri"/>
      <family val="2"/>
      <scheme val="minor"/>
    </font>
    <font>
      <i/>
      <sz val="9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color indexed="19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6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6"/>
      <color theme="0"/>
      <name val="Calibri"/>
      <family val="2"/>
    </font>
    <font>
      <b/>
      <i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9"/>
      <name val="Calibri"/>
      <family val="2"/>
      <scheme val="minor"/>
    </font>
    <font>
      <b/>
      <sz val="10"/>
      <color indexed="54"/>
      <name val="Calibri"/>
      <family val="2"/>
      <scheme val="minor"/>
    </font>
    <font>
      <i/>
      <sz val="10"/>
      <color indexed="20"/>
      <name val="Calibri"/>
      <family val="2"/>
      <scheme val="minor"/>
    </font>
    <font>
      <b/>
      <sz val="10"/>
      <color indexed="81"/>
      <name val="Tahoma"/>
      <family val="2"/>
    </font>
    <font>
      <u/>
      <sz val="10"/>
      <color indexed="12"/>
      <name val="Arial"/>
      <family val="2"/>
    </font>
    <font>
      <b/>
      <u/>
      <sz val="20"/>
      <color indexed="1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bgColor rgb="FF92D050"/>
      </patternFill>
    </fill>
    <fill>
      <patternFill patternType="gray0625">
        <bgColor theme="3" tint="0.59999389629810485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bgColor theme="0" tint="-0.14996795556505021"/>
      </patternFill>
    </fill>
    <fill>
      <patternFill patternType="gray0625">
        <bgColor rgb="FFFFFF00"/>
      </patternFill>
    </fill>
    <fill>
      <patternFill patternType="gray125">
        <bgColor theme="0" tint="-0.1499374370555742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theme="4" tint="0.79998168889431442"/>
        <bgColor indexed="64"/>
      </patternFill>
    </fill>
  </fills>
  <borders count="1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 diagonalUp="1"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 diagonalUp="1" diagonalDown="1"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tted">
        <color indexed="8"/>
      </bottom>
      <diagonal/>
    </border>
    <border>
      <left/>
      <right style="medium">
        <color indexed="64"/>
      </right>
      <top style="medium">
        <color indexed="64"/>
      </top>
      <bottom style="dotted">
        <color indexed="8"/>
      </bottom>
      <diagonal/>
    </border>
    <border>
      <left/>
      <right style="medium">
        <color indexed="64"/>
      </right>
      <top style="dotted">
        <color indexed="8"/>
      </top>
      <bottom style="medium">
        <color indexed="64"/>
      </bottom>
      <diagonal/>
    </border>
    <border>
      <left/>
      <right style="medium">
        <color indexed="8"/>
      </right>
      <top style="dotted">
        <color indexed="64"/>
      </top>
      <bottom style="dotted">
        <color indexed="8"/>
      </bottom>
      <diagonal/>
    </border>
    <border>
      <left/>
      <right/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19" fillId="21" borderId="3" applyNumberForma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9" fontId="1" fillId="0" borderId="0" applyFill="0" applyBorder="0" applyAlignment="0" applyProtection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75" fillId="0" borderId="0" applyNumberFormat="0" applyFill="0" applyBorder="0" applyAlignment="0" applyProtection="0">
      <alignment vertical="top"/>
      <protection locked="0"/>
    </xf>
  </cellStyleXfs>
  <cellXfs count="673">
    <xf numFmtId="0" fontId="0" fillId="0" borderId="0" xfId="0"/>
    <xf numFmtId="0" fontId="30" fillId="24" borderId="10" xfId="0" applyFont="1" applyFill="1" applyBorder="1"/>
    <xf numFmtId="0" fontId="30" fillId="24" borderId="11" xfId="0" applyFont="1" applyFill="1" applyBorder="1"/>
    <xf numFmtId="0" fontId="31" fillId="24" borderId="12" xfId="0" applyFont="1" applyFill="1" applyBorder="1"/>
    <xf numFmtId="0" fontId="31" fillId="24" borderId="13" xfId="0" applyFont="1" applyFill="1" applyBorder="1"/>
    <xf numFmtId="0" fontId="31" fillId="25" borderId="0" xfId="0" applyFont="1" applyFill="1"/>
    <xf numFmtId="0" fontId="31" fillId="25" borderId="14" xfId="0" applyFont="1" applyFill="1" applyBorder="1"/>
    <xf numFmtId="0" fontId="31" fillId="25" borderId="0" xfId="0" applyFont="1" applyFill="1" applyBorder="1"/>
    <xf numFmtId="0" fontId="31" fillId="25" borderId="15" xfId="0" applyFont="1" applyFill="1" applyBorder="1"/>
    <xf numFmtId="167" fontId="32" fillId="25" borderId="15" xfId="0" applyNumberFormat="1" applyFont="1" applyFill="1" applyBorder="1" applyAlignment="1">
      <alignment horizontal="right"/>
    </xf>
    <xf numFmtId="0" fontId="31" fillId="25" borderId="16" xfId="0" applyFont="1" applyFill="1" applyBorder="1"/>
    <xf numFmtId="0" fontId="33" fillId="25" borderId="0" xfId="0" applyFont="1" applyFill="1" applyBorder="1"/>
    <xf numFmtId="4" fontId="31" fillId="25" borderId="18" xfId="0" applyNumberFormat="1" applyFont="1" applyFill="1" applyBorder="1"/>
    <xf numFmtId="0" fontId="31" fillId="26" borderId="0" xfId="0" applyFont="1" applyFill="1" applyBorder="1" applyProtection="1"/>
    <xf numFmtId="0" fontId="31" fillId="26" borderId="0" xfId="0" applyFont="1" applyFill="1" applyBorder="1" applyAlignment="1">
      <alignment horizontal="center" vertical="center"/>
    </xf>
    <xf numFmtId="0" fontId="31" fillId="26" borderId="19" xfId="0" applyFont="1" applyFill="1" applyBorder="1" applyAlignment="1">
      <alignment horizontal="center" vertical="center"/>
    </xf>
    <xf numFmtId="0" fontId="36" fillId="26" borderId="0" xfId="0" applyFont="1" applyFill="1" applyBorder="1" applyProtection="1"/>
    <xf numFmtId="0" fontId="33" fillId="26" borderId="0" xfId="0" applyFont="1" applyFill="1" applyBorder="1" applyProtection="1"/>
    <xf numFmtId="0" fontId="31" fillId="26" borderId="0" xfId="0" applyFont="1" applyFill="1" applyBorder="1" applyAlignment="1">
      <alignment vertical="center"/>
    </xf>
    <xf numFmtId="0" fontId="31" fillId="26" borderId="19" xfId="0" applyFont="1" applyFill="1" applyBorder="1" applyAlignment="1">
      <alignment vertical="center"/>
    </xf>
    <xf numFmtId="0" fontId="30" fillId="26" borderId="20" xfId="0" applyFont="1" applyFill="1" applyBorder="1" applyProtection="1"/>
    <xf numFmtId="0" fontId="30" fillId="26" borderId="21" xfId="0" applyFont="1" applyFill="1" applyBorder="1" applyAlignment="1" applyProtection="1">
      <alignment horizontal="left"/>
    </xf>
    <xf numFmtId="0" fontId="31" fillId="26" borderId="0" xfId="0" applyFont="1" applyFill="1" applyBorder="1"/>
    <xf numFmtId="0" fontId="30" fillId="26" borderId="22" xfId="0" applyFont="1" applyFill="1" applyBorder="1" applyProtection="1"/>
    <xf numFmtId="0" fontId="37" fillId="25" borderId="0" xfId="0" applyFont="1" applyFill="1" applyBorder="1"/>
    <xf numFmtId="0" fontId="30" fillId="26" borderId="24" xfId="0" applyFont="1" applyFill="1" applyBorder="1" applyProtection="1"/>
    <xf numFmtId="0" fontId="30" fillId="26" borderId="25" xfId="0" applyFont="1" applyFill="1" applyBorder="1" applyAlignment="1" applyProtection="1">
      <alignment horizontal="left"/>
    </xf>
    <xf numFmtId="0" fontId="30" fillId="26" borderId="24" xfId="0" applyFont="1" applyFill="1" applyBorder="1" applyAlignment="1" applyProtection="1">
      <alignment wrapText="1"/>
    </xf>
    <xf numFmtId="0" fontId="30" fillId="26" borderId="26" xfId="0" applyFont="1" applyFill="1" applyBorder="1" applyAlignment="1" applyProtection="1">
      <alignment wrapText="1"/>
    </xf>
    <xf numFmtId="0" fontId="30" fillId="26" borderId="24" xfId="0" applyFont="1" applyFill="1" applyBorder="1" applyAlignment="1" applyProtection="1">
      <alignment horizontal="center"/>
    </xf>
    <xf numFmtId="0" fontId="30" fillId="26" borderId="27" xfId="0" applyFont="1" applyFill="1" applyBorder="1" applyProtection="1"/>
    <xf numFmtId="2" fontId="30" fillId="26" borderId="22" xfId="0" applyNumberFormat="1" applyFont="1" applyFill="1" applyBorder="1" applyAlignment="1" applyProtection="1">
      <alignment horizontal="center"/>
    </xf>
    <xf numFmtId="0" fontId="30" fillId="26" borderId="28" xfId="0" applyFont="1" applyFill="1" applyBorder="1" applyProtection="1"/>
    <xf numFmtId="0" fontId="30" fillId="26" borderId="25" xfId="0" applyFont="1" applyFill="1" applyBorder="1" applyProtection="1"/>
    <xf numFmtId="0" fontId="33" fillId="26" borderId="24" xfId="0" applyFont="1" applyFill="1" applyBorder="1" applyAlignment="1" applyProtection="1">
      <alignment horizontal="right"/>
    </xf>
    <xf numFmtId="0" fontId="30" fillId="26" borderId="26" xfId="0" applyFont="1" applyFill="1" applyBorder="1" applyProtection="1"/>
    <xf numFmtId="0" fontId="30" fillId="26" borderId="21" xfId="0" applyFont="1" applyFill="1" applyBorder="1" applyProtection="1"/>
    <xf numFmtId="0" fontId="34" fillId="26" borderId="29" xfId="0" applyFont="1" applyFill="1" applyBorder="1" applyAlignment="1">
      <alignment horizontal="center" vertical="center"/>
    </xf>
    <xf numFmtId="0" fontId="34" fillId="26" borderId="30" xfId="0" applyFont="1" applyFill="1" applyBorder="1" applyAlignment="1">
      <alignment horizontal="center" vertical="center"/>
    </xf>
    <xf numFmtId="0" fontId="34" fillId="26" borderId="31" xfId="0" applyFont="1" applyFill="1" applyBorder="1" applyAlignment="1">
      <alignment horizontal="center" vertical="center"/>
    </xf>
    <xf numFmtId="0" fontId="30" fillId="26" borderId="0" xfId="0" applyFont="1" applyFill="1" applyBorder="1" applyProtection="1"/>
    <xf numFmtId="0" fontId="30" fillId="26" borderId="33" xfId="0" applyFont="1" applyFill="1" applyBorder="1" applyProtection="1"/>
    <xf numFmtId="0" fontId="31" fillId="26" borderId="19" xfId="0" applyFont="1" applyFill="1" applyBorder="1"/>
    <xf numFmtId="0" fontId="38" fillId="25" borderId="0" xfId="0" applyFont="1" applyFill="1" applyBorder="1"/>
    <xf numFmtId="0" fontId="30" fillId="26" borderId="34" xfId="0" applyFont="1" applyFill="1" applyBorder="1" applyProtection="1"/>
    <xf numFmtId="0" fontId="30" fillId="26" borderId="35" xfId="0" applyFont="1" applyFill="1" applyBorder="1" applyProtection="1"/>
    <xf numFmtId="0" fontId="33" fillId="26" borderId="34" xfId="0" applyFont="1" applyFill="1" applyBorder="1" applyAlignment="1" applyProtection="1">
      <alignment horizontal="right"/>
    </xf>
    <xf numFmtId="0" fontId="30" fillId="26" borderId="36" xfId="0" applyFont="1" applyFill="1" applyBorder="1" applyAlignment="1" applyProtection="1">
      <alignment horizontal="right"/>
    </xf>
    <xf numFmtId="2" fontId="30" fillId="26" borderId="34" xfId="0" applyNumberFormat="1" applyFont="1" applyFill="1" applyBorder="1" applyAlignment="1" applyProtection="1">
      <alignment horizontal="center"/>
    </xf>
    <xf numFmtId="0" fontId="30" fillId="26" borderId="37" xfId="0" applyFont="1" applyFill="1" applyBorder="1" applyProtection="1"/>
    <xf numFmtId="0" fontId="31" fillId="26" borderId="34" xfId="0" applyFont="1" applyFill="1" applyBorder="1"/>
    <xf numFmtId="0" fontId="31" fillId="26" borderId="38" xfId="0" applyFont="1" applyFill="1" applyBorder="1"/>
    <xf numFmtId="0" fontId="31" fillId="25" borderId="0" xfId="0" applyFont="1" applyFill="1" applyBorder="1" applyAlignment="1">
      <alignment horizontal="right"/>
    </xf>
    <xf numFmtId="4" fontId="31" fillId="25" borderId="0" xfId="0" applyNumberFormat="1" applyFont="1" applyFill="1" applyBorder="1"/>
    <xf numFmtId="164" fontId="31" fillId="25" borderId="0" xfId="0" applyNumberFormat="1" applyFont="1" applyFill="1" applyBorder="1"/>
    <xf numFmtId="4" fontId="31" fillId="25" borderId="15" xfId="0" applyNumberFormat="1" applyFont="1" applyFill="1" applyBorder="1"/>
    <xf numFmtId="0" fontId="39" fillId="25" borderId="0" xfId="0" applyFont="1" applyFill="1" applyBorder="1"/>
    <xf numFmtId="0" fontId="34" fillId="25" borderId="0" xfId="0" applyFont="1" applyFill="1" applyBorder="1" applyAlignment="1">
      <alignment horizontal="right"/>
    </xf>
    <xf numFmtId="4" fontId="31" fillId="25" borderId="0" xfId="0" applyNumberFormat="1" applyFont="1" applyFill="1"/>
    <xf numFmtId="0" fontId="31" fillId="25" borderId="0" xfId="0" applyFont="1" applyFill="1" applyBorder="1" applyAlignment="1">
      <alignment horizontal="left"/>
    </xf>
    <xf numFmtId="0" fontId="36" fillId="25" borderId="14" xfId="0" applyFont="1" applyFill="1" applyBorder="1" applyAlignment="1">
      <alignment horizontal="center"/>
    </xf>
    <xf numFmtId="4" fontId="31" fillId="25" borderId="39" xfId="0" applyNumberFormat="1" applyFont="1" applyFill="1" applyBorder="1"/>
    <xf numFmtId="168" fontId="36" fillId="25" borderId="0" xfId="0" applyNumberFormat="1" applyFont="1" applyFill="1" applyBorder="1"/>
    <xf numFmtId="0" fontId="31" fillId="26" borderId="40" xfId="0" applyFont="1" applyFill="1" applyBorder="1" applyAlignment="1">
      <alignment horizontal="center"/>
    </xf>
    <xf numFmtId="0" fontId="31" fillId="25" borderId="14" xfId="0" applyFont="1" applyFill="1" applyBorder="1" applyAlignment="1">
      <alignment horizontal="center"/>
    </xf>
    <xf numFmtId="0" fontId="31" fillId="25" borderId="0" xfId="0" applyFont="1" applyFill="1" applyBorder="1" applyProtection="1"/>
    <xf numFmtId="0" fontId="31" fillId="25" borderId="0" xfId="0" applyFont="1" applyFill="1" applyBorder="1" applyAlignment="1" applyProtection="1"/>
    <xf numFmtId="0" fontId="31" fillId="25" borderId="0" xfId="0" applyFont="1" applyFill="1" applyBorder="1" applyAlignment="1" applyProtection="1">
      <alignment horizontal="right"/>
    </xf>
    <xf numFmtId="2" fontId="31" fillId="25" borderId="0" xfId="0" applyNumberFormat="1" applyFont="1" applyFill="1" applyBorder="1" applyProtection="1"/>
    <xf numFmtId="0" fontId="35" fillId="25" borderId="0" xfId="0" applyFont="1" applyFill="1" applyBorder="1" applyAlignment="1">
      <alignment horizontal="right"/>
    </xf>
    <xf numFmtId="0" fontId="31" fillId="25" borderId="0" xfId="0" applyFont="1" applyFill="1" applyProtection="1"/>
    <xf numFmtId="0" fontId="34" fillId="25" borderId="0" xfId="0" applyFont="1" applyFill="1" applyBorder="1"/>
    <xf numFmtId="4" fontId="40" fillId="25" borderId="15" xfId="0" applyNumberFormat="1" applyFont="1" applyFill="1" applyBorder="1"/>
    <xf numFmtId="9" fontId="31" fillId="25" borderId="0" xfId="0" applyNumberFormat="1" applyFont="1" applyFill="1" applyBorder="1"/>
    <xf numFmtId="0" fontId="38" fillId="25" borderId="0" xfId="0" applyFont="1" applyFill="1" applyBorder="1" applyAlignment="1">
      <alignment horizontal="right"/>
    </xf>
    <xf numFmtId="0" fontId="41" fillId="25" borderId="0" xfId="0" applyFont="1" applyFill="1" applyBorder="1"/>
    <xf numFmtId="0" fontId="42" fillId="25" borderId="0" xfId="0" applyFont="1" applyFill="1" applyBorder="1" applyAlignment="1">
      <alignment horizontal="right"/>
    </xf>
    <xf numFmtId="0" fontId="43" fillId="25" borderId="0" xfId="0" applyFont="1" applyFill="1" applyBorder="1"/>
    <xf numFmtId="0" fontId="35" fillId="25" borderId="0" xfId="0" applyFont="1" applyFill="1" applyBorder="1"/>
    <xf numFmtId="4" fontId="38" fillId="25" borderId="41" xfId="0" applyNumberFormat="1" applyFont="1" applyFill="1" applyBorder="1" applyAlignment="1">
      <alignment horizontal="center"/>
    </xf>
    <xf numFmtId="0" fontId="38" fillId="25" borderId="39" xfId="0" applyFont="1" applyFill="1" applyBorder="1" applyAlignment="1">
      <alignment horizontal="center"/>
    </xf>
    <xf numFmtId="0" fontId="38" fillId="25" borderId="42" xfId="0" applyFont="1" applyFill="1" applyBorder="1"/>
    <xf numFmtId="0" fontId="44" fillId="25" borderId="0" xfId="0" applyFont="1" applyFill="1" applyBorder="1"/>
    <xf numFmtId="0" fontId="34" fillId="25" borderId="0" xfId="0" applyFont="1" applyFill="1" applyBorder="1" applyAlignment="1">
      <alignment horizontal="left"/>
    </xf>
    <xf numFmtId="0" fontId="45" fillId="25" borderId="0" xfId="0" applyFont="1" applyFill="1" applyBorder="1"/>
    <xf numFmtId="0" fontId="45" fillId="25" borderId="0" xfId="0" applyFont="1" applyFill="1" applyBorder="1" applyAlignment="1">
      <alignment horizontal="right"/>
    </xf>
    <xf numFmtId="3" fontId="31" fillId="25" borderId="39" xfId="0" applyNumberFormat="1" applyFont="1" applyFill="1" applyBorder="1" applyAlignment="1">
      <alignment horizontal="center"/>
    </xf>
    <xf numFmtId="0" fontId="31" fillId="25" borderId="39" xfId="0" applyFont="1" applyFill="1" applyBorder="1" applyAlignment="1">
      <alignment horizontal="center"/>
    </xf>
    <xf numFmtId="0" fontId="46" fillId="25" borderId="0" xfId="0" applyFont="1" applyFill="1"/>
    <xf numFmtId="0" fontId="47" fillId="25" borderId="0" xfId="0" applyFont="1" applyFill="1" applyBorder="1"/>
    <xf numFmtId="0" fontId="49" fillId="25" borderId="0" xfId="0" applyFont="1" applyFill="1"/>
    <xf numFmtId="0" fontId="30" fillId="25" borderId="45" xfId="0" applyFont="1" applyFill="1" applyBorder="1"/>
    <xf numFmtId="0" fontId="30" fillId="25" borderId="0" xfId="0" applyFont="1" applyFill="1" applyBorder="1"/>
    <xf numFmtId="0" fontId="35" fillId="25" borderId="39" xfId="0" applyFont="1" applyFill="1" applyBorder="1" applyAlignment="1">
      <alignment horizontal="center"/>
    </xf>
    <xf numFmtId="0" fontId="31" fillId="25" borderId="39" xfId="0" applyFont="1" applyFill="1" applyBorder="1"/>
    <xf numFmtId="0" fontId="45" fillId="25" borderId="39" xfId="0" applyFont="1" applyFill="1" applyBorder="1"/>
    <xf numFmtId="0" fontId="45" fillId="25" borderId="15" xfId="0" applyFont="1" applyFill="1" applyBorder="1" applyAlignment="1">
      <alignment horizontal="right"/>
    </xf>
    <xf numFmtId="0" fontId="45" fillId="25" borderId="15" xfId="0" applyFont="1" applyFill="1" applyBorder="1"/>
    <xf numFmtId="0" fontId="35" fillId="27" borderId="0" xfId="0" applyFont="1" applyFill="1" applyBorder="1" applyAlignment="1">
      <alignment horizontal="right" vertical="center"/>
    </xf>
    <xf numFmtId="0" fontId="38" fillId="25" borderId="0" xfId="0" applyFont="1" applyFill="1" applyBorder="1" applyAlignment="1">
      <alignment horizontal="center"/>
    </xf>
    <xf numFmtId="0" fontId="31" fillId="25" borderId="44" xfId="0" applyFont="1" applyFill="1" applyBorder="1"/>
    <xf numFmtId="0" fontId="38" fillId="25" borderId="0" xfId="0" applyFont="1" applyFill="1" applyBorder="1" applyAlignment="1">
      <alignment horizontal="left"/>
    </xf>
    <xf numFmtId="0" fontId="31" fillId="25" borderId="17" xfId="0" applyFont="1" applyFill="1" applyBorder="1"/>
    <xf numFmtId="0" fontId="30" fillId="25" borderId="0" xfId="0" applyFont="1" applyFill="1" applyAlignment="1">
      <alignment horizontal="right"/>
    </xf>
    <xf numFmtId="0" fontId="35" fillId="27" borderId="0" xfId="0" applyFont="1" applyFill="1" applyBorder="1" applyAlignment="1">
      <alignment horizontal="left" vertical="center"/>
    </xf>
    <xf numFmtId="0" fontId="31" fillId="25" borderId="0" xfId="0" applyFont="1" applyFill="1" applyBorder="1" applyAlignment="1">
      <alignment horizontal="center"/>
    </xf>
    <xf numFmtId="165" fontId="31" fillId="25" borderId="0" xfId="0" applyNumberFormat="1" applyFont="1" applyFill="1"/>
    <xf numFmtId="0" fontId="30" fillId="25" borderId="0" xfId="0" applyFont="1" applyFill="1"/>
    <xf numFmtId="4" fontId="31" fillId="25" borderId="39" xfId="0" applyNumberFormat="1" applyFont="1" applyFill="1" applyBorder="1" applyAlignment="1">
      <alignment horizontal="center"/>
    </xf>
    <xf numFmtId="4" fontId="50" fillId="25" borderId="15" xfId="0" applyNumberFormat="1" applyFont="1" applyFill="1" applyBorder="1"/>
    <xf numFmtId="0" fontId="31" fillId="26" borderId="16" xfId="0" applyFont="1" applyFill="1" applyBorder="1" applyAlignment="1">
      <alignment horizontal="center"/>
    </xf>
    <xf numFmtId="165" fontId="31" fillId="25" borderId="0" xfId="0" applyNumberFormat="1" applyFont="1" applyFill="1" applyBorder="1" applyAlignment="1">
      <alignment horizontal="center"/>
    </xf>
    <xf numFmtId="0" fontId="51" fillId="25" borderId="46" xfId="0" applyFont="1" applyFill="1" applyBorder="1"/>
    <xf numFmtId="0" fontId="31" fillId="25" borderId="20" xfId="0" applyFont="1" applyFill="1" applyBorder="1"/>
    <xf numFmtId="0" fontId="31" fillId="25" borderId="21" xfId="0" applyFont="1" applyFill="1" applyBorder="1"/>
    <xf numFmtId="165" fontId="30" fillId="25" borderId="39" xfId="0" applyNumberFormat="1" applyFont="1" applyFill="1" applyBorder="1"/>
    <xf numFmtId="165" fontId="30" fillId="25" borderId="0" xfId="0" applyNumberFormat="1" applyFont="1" applyFill="1"/>
    <xf numFmtId="167" fontId="31" fillId="25" borderId="0" xfId="0" applyNumberFormat="1" applyFont="1" applyFill="1"/>
    <xf numFmtId="0" fontId="52" fillId="28" borderId="47" xfId="0" applyFont="1" applyFill="1" applyBorder="1"/>
    <xf numFmtId="0" fontId="53" fillId="28" borderId="48" xfId="0" applyFont="1" applyFill="1" applyBorder="1"/>
    <xf numFmtId="4" fontId="54" fillId="29" borderId="29" xfId="0" applyNumberFormat="1" applyFont="1" applyFill="1" applyBorder="1"/>
    <xf numFmtId="4" fontId="31" fillId="25" borderId="49" xfId="0" applyNumberFormat="1" applyFont="1" applyFill="1" applyBorder="1"/>
    <xf numFmtId="0" fontId="31" fillId="30" borderId="50" xfId="0" applyFont="1" applyFill="1" applyBorder="1"/>
    <xf numFmtId="0" fontId="31" fillId="30" borderId="50" xfId="0" applyFont="1" applyFill="1" applyBorder="1" applyAlignment="1">
      <alignment horizontal="right"/>
    </xf>
    <xf numFmtId="4" fontId="54" fillId="31" borderId="29" xfId="0" applyNumberFormat="1" applyFont="1" applyFill="1" applyBorder="1"/>
    <xf numFmtId="0" fontId="31" fillId="28" borderId="0" xfId="0" applyFont="1" applyFill="1"/>
    <xf numFmtId="0" fontId="31" fillId="28" borderId="0" xfId="0" applyFont="1" applyFill="1" applyAlignment="1">
      <alignment horizontal="center"/>
    </xf>
    <xf numFmtId="4" fontId="38" fillId="25" borderId="0" xfId="0" applyNumberFormat="1" applyFont="1" applyFill="1" applyBorder="1" applyAlignment="1">
      <alignment horizontal="center"/>
    </xf>
    <xf numFmtId="169" fontId="55" fillId="25" borderId="15" xfId="0" applyNumberFormat="1" applyFont="1" applyFill="1" applyBorder="1" applyAlignment="1" applyProtection="1">
      <alignment horizontal="right"/>
    </xf>
    <xf numFmtId="4" fontId="31" fillId="25" borderId="52" xfId="0" applyNumberFormat="1" applyFont="1" applyFill="1" applyBorder="1"/>
    <xf numFmtId="0" fontId="56" fillId="25" borderId="0" xfId="0" applyFont="1" applyFill="1" applyBorder="1" applyAlignment="1">
      <alignment horizontal="left"/>
    </xf>
    <xf numFmtId="0" fontId="45" fillId="25" borderId="0" xfId="0" applyFont="1" applyFill="1" applyBorder="1" applyAlignment="1">
      <alignment horizontal="left"/>
    </xf>
    <xf numFmtId="171" fontId="30" fillId="25" borderId="0" xfId="0" applyNumberFormat="1" applyFont="1" applyFill="1" applyAlignment="1">
      <alignment horizontal="center"/>
    </xf>
    <xf numFmtId="172" fontId="31" fillId="25" borderId="0" xfId="0" applyNumberFormat="1" applyFont="1" applyFill="1"/>
    <xf numFmtId="0" fontId="57" fillId="25" borderId="46" xfId="0" applyFont="1" applyFill="1" applyBorder="1" applyAlignment="1">
      <alignment horizontal="right"/>
    </xf>
    <xf numFmtId="10" fontId="57" fillId="25" borderId="21" xfId="0" applyNumberFormat="1" applyFont="1" applyFill="1" applyBorder="1" applyAlignment="1">
      <alignment horizontal="center"/>
    </xf>
    <xf numFmtId="0" fontId="22" fillId="25" borderId="0" xfId="0" applyFont="1" applyFill="1"/>
    <xf numFmtId="4" fontId="30" fillId="25" borderId="18" xfId="0" applyNumberFormat="1" applyFont="1" applyFill="1" applyBorder="1"/>
    <xf numFmtId="4" fontId="30" fillId="25" borderId="15" xfId="0" applyNumberFormat="1" applyFont="1" applyFill="1" applyBorder="1"/>
    <xf numFmtId="4" fontId="34" fillId="24" borderId="45" xfId="0" applyNumberFormat="1" applyFont="1" applyFill="1" applyBorder="1" applyAlignment="1">
      <alignment horizontal="center" wrapText="1"/>
    </xf>
    <xf numFmtId="164" fontId="34" fillId="24" borderId="30" xfId="0" applyNumberFormat="1" applyFont="1" applyFill="1" applyBorder="1" applyAlignment="1">
      <alignment horizontal="center" vertical="center" wrapText="1"/>
    </xf>
    <xf numFmtId="3" fontId="55" fillId="32" borderId="41" xfId="0" applyNumberFormat="1" applyFont="1" applyFill="1" applyBorder="1" applyAlignment="1" applyProtection="1">
      <alignment horizontal="right"/>
    </xf>
    <xf numFmtId="3" fontId="55" fillId="32" borderId="53" xfId="0" applyNumberFormat="1" applyFont="1" applyFill="1" applyBorder="1" applyAlignment="1" applyProtection="1">
      <alignment horizontal="right"/>
    </xf>
    <xf numFmtId="4" fontId="38" fillId="33" borderId="55" xfId="0" applyNumberFormat="1" applyFont="1" applyFill="1" applyBorder="1" applyAlignment="1">
      <alignment horizontal="center"/>
    </xf>
    <xf numFmtId="169" fontId="55" fillId="33" borderId="56" xfId="0" applyNumberFormat="1" applyFont="1" applyFill="1" applyBorder="1" applyAlignment="1" applyProtection="1">
      <alignment horizontal="right"/>
    </xf>
    <xf numFmtId="0" fontId="31" fillId="25" borderId="59" xfId="0" applyFont="1" applyFill="1" applyBorder="1"/>
    <xf numFmtId="0" fontId="58" fillId="25" borderId="0" xfId="0" applyFont="1" applyFill="1" applyBorder="1"/>
    <xf numFmtId="0" fontId="30" fillId="25" borderId="46" xfId="0" applyFont="1" applyFill="1" applyBorder="1"/>
    <xf numFmtId="4" fontId="31" fillId="30" borderId="45" xfId="0" applyNumberFormat="1" applyFont="1" applyFill="1" applyBorder="1"/>
    <xf numFmtId="4" fontId="31" fillId="25" borderId="59" xfId="0" applyNumberFormat="1" applyFont="1" applyFill="1" applyBorder="1"/>
    <xf numFmtId="4" fontId="31" fillId="25" borderId="44" xfId="0" applyNumberFormat="1" applyFont="1" applyFill="1" applyBorder="1"/>
    <xf numFmtId="172" fontId="31" fillId="34" borderId="60" xfId="0" applyNumberFormat="1" applyFont="1" applyFill="1" applyBorder="1"/>
    <xf numFmtId="172" fontId="31" fillId="34" borderId="61" xfId="0" applyNumberFormat="1" applyFont="1" applyFill="1" applyBorder="1"/>
    <xf numFmtId="172" fontId="31" fillId="34" borderId="62" xfId="0" applyNumberFormat="1" applyFont="1" applyFill="1" applyBorder="1"/>
    <xf numFmtId="0" fontId="30" fillId="35" borderId="0" xfId="0" applyFont="1" applyFill="1" applyBorder="1"/>
    <xf numFmtId="0" fontId="37" fillId="25" borderId="0" xfId="0" applyFont="1" applyFill="1" applyBorder="1" applyAlignment="1">
      <alignment horizontal="right"/>
    </xf>
    <xf numFmtId="4" fontId="59" fillId="31" borderId="21" xfId="0" applyNumberFormat="1" applyFont="1" applyFill="1" applyBorder="1"/>
    <xf numFmtId="0" fontId="31" fillId="36" borderId="14" xfId="0" applyFont="1" applyFill="1" applyBorder="1"/>
    <xf numFmtId="0" fontId="0" fillId="25" borderId="46" xfId="0" applyFill="1" applyBorder="1"/>
    <xf numFmtId="0" fontId="0" fillId="25" borderId="45" xfId="0" applyFill="1" applyBorder="1"/>
    <xf numFmtId="0" fontId="0" fillId="25" borderId="63" xfId="0" applyFill="1" applyBorder="1"/>
    <xf numFmtId="0" fontId="23" fillId="25" borderId="45" xfId="0" applyFont="1" applyFill="1" applyBorder="1"/>
    <xf numFmtId="166" fontId="24" fillId="25" borderId="45" xfId="0" applyNumberFormat="1" applyFont="1" applyFill="1" applyBorder="1"/>
    <xf numFmtId="0" fontId="25" fillId="25" borderId="45" xfId="0" applyFont="1" applyFill="1" applyBorder="1"/>
    <xf numFmtId="166" fontId="0" fillId="25" borderId="45" xfId="0" applyNumberFormat="1" applyFill="1" applyBorder="1"/>
    <xf numFmtId="4" fontId="59" fillId="31" borderId="29" xfId="0" applyNumberFormat="1" applyFont="1" applyFill="1" applyBorder="1"/>
    <xf numFmtId="168" fontId="36" fillId="25" borderId="14" xfId="0" applyNumberFormat="1" applyFont="1" applyFill="1" applyBorder="1"/>
    <xf numFmtId="4" fontId="31" fillId="25" borderId="64" xfId="0" applyNumberFormat="1" applyFont="1" applyFill="1" applyBorder="1"/>
    <xf numFmtId="4" fontId="31" fillId="25" borderId="65" xfId="0" applyNumberFormat="1" applyFont="1" applyFill="1" applyBorder="1"/>
    <xf numFmtId="4" fontId="31" fillId="25" borderId="66" xfId="0" applyNumberFormat="1" applyFont="1" applyFill="1" applyBorder="1"/>
    <xf numFmtId="4" fontId="45" fillId="32" borderId="58" xfId="0" applyNumberFormat="1" applyFont="1" applyFill="1" applyBorder="1" applyAlignment="1">
      <alignment horizontal="center"/>
    </xf>
    <xf numFmtId="4" fontId="31" fillId="25" borderId="67" xfId="0" applyNumberFormat="1" applyFont="1" applyFill="1" applyBorder="1"/>
    <xf numFmtId="0" fontId="31" fillId="36" borderId="68" xfId="0" applyFont="1" applyFill="1" applyBorder="1"/>
    <xf numFmtId="0" fontId="60" fillId="37" borderId="22" xfId="0" applyFont="1" applyFill="1" applyBorder="1"/>
    <xf numFmtId="0" fontId="31" fillId="37" borderId="69" xfId="0" applyFont="1" applyFill="1" applyBorder="1" applyAlignment="1">
      <alignment horizontal="center"/>
    </xf>
    <xf numFmtId="168" fontId="36" fillId="25" borderId="22" xfId="0" applyNumberFormat="1" applyFont="1" applyFill="1" applyBorder="1"/>
    <xf numFmtId="4" fontId="31" fillId="25" borderId="70" xfId="0" applyNumberFormat="1" applyFont="1" applyFill="1" applyBorder="1"/>
    <xf numFmtId="0" fontId="38" fillId="25" borderId="22" xfId="0" applyFont="1" applyFill="1" applyBorder="1"/>
    <xf numFmtId="0" fontId="31" fillId="25" borderId="22" xfId="0" applyFont="1" applyFill="1" applyBorder="1"/>
    <xf numFmtId="0" fontId="31" fillId="25" borderId="28" xfId="0" applyFont="1" applyFill="1" applyBorder="1"/>
    <xf numFmtId="0" fontId="31" fillId="25" borderId="33" xfId="0" applyFont="1" applyFill="1" applyBorder="1"/>
    <xf numFmtId="0" fontId="38" fillId="25" borderId="24" xfId="0" applyFont="1" applyFill="1" applyBorder="1" applyAlignment="1">
      <alignment horizontal="right"/>
    </xf>
    <xf numFmtId="168" fontId="36" fillId="25" borderId="25" xfId="0" applyNumberFormat="1" applyFont="1" applyFill="1" applyBorder="1"/>
    <xf numFmtId="4" fontId="31" fillId="25" borderId="26" xfId="0" applyNumberFormat="1" applyFont="1" applyFill="1" applyBorder="1"/>
    <xf numFmtId="0" fontId="31" fillId="30" borderId="72" xfId="0" applyFont="1" applyFill="1" applyBorder="1"/>
    <xf numFmtId="0" fontId="31" fillId="30" borderId="72" xfId="0" applyFont="1" applyFill="1" applyBorder="1" applyAlignment="1">
      <alignment horizontal="right"/>
    </xf>
    <xf numFmtId="0" fontId="31" fillId="25" borderId="24" xfId="0" applyFont="1" applyFill="1" applyBorder="1"/>
    <xf numFmtId="0" fontId="31" fillId="25" borderId="27" xfId="0" applyFont="1" applyFill="1" applyBorder="1"/>
    <xf numFmtId="0" fontId="61" fillId="25" borderId="0" xfId="0" applyFont="1" applyFill="1" applyBorder="1"/>
    <xf numFmtId="4" fontId="31" fillId="25" borderId="39" xfId="0" applyNumberFormat="1" applyFont="1" applyFill="1" applyBorder="1" applyAlignment="1">
      <alignment horizontal="left"/>
    </xf>
    <xf numFmtId="0" fontId="0" fillId="25" borderId="0" xfId="0" applyFill="1"/>
    <xf numFmtId="4" fontId="59" fillId="31" borderId="48" xfId="0" applyNumberFormat="1" applyFont="1" applyFill="1" applyBorder="1"/>
    <xf numFmtId="167" fontId="31" fillId="30" borderId="50" xfId="0" applyNumberFormat="1" applyFont="1" applyFill="1" applyBorder="1" applyAlignment="1">
      <alignment horizontal="right"/>
    </xf>
    <xf numFmtId="4" fontId="54" fillId="31" borderId="46" xfId="0" applyNumberFormat="1" applyFont="1" applyFill="1" applyBorder="1"/>
    <xf numFmtId="0" fontId="31" fillId="28" borderId="0" xfId="0" applyFont="1" applyFill="1" applyAlignment="1">
      <alignment horizontal="left"/>
    </xf>
    <xf numFmtId="167" fontId="38" fillId="25" borderId="0" xfId="0" applyNumberFormat="1" applyFont="1" applyFill="1" applyBorder="1" applyAlignment="1">
      <alignment horizontal="center"/>
    </xf>
    <xf numFmtId="4" fontId="33" fillId="25" borderId="15" xfId="0" applyNumberFormat="1" applyFont="1" applyFill="1" applyBorder="1" applyAlignment="1">
      <alignment horizontal="right"/>
    </xf>
    <xf numFmtId="4" fontId="31" fillId="25" borderId="74" xfId="0" applyNumberFormat="1" applyFont="1" applyFill="1" applyBorder="1"/>
    <xf numFmtId="4" fontId="31" fillId="25" borderId="75" xfId="0" applyNumberFormat="1" applyFont="1" applyFill="1" applyBorder="1"/>
    <xf numFmtId="0" fontId="31" fillId="25" borderId="76" xfId="0" applyFont="1" applyFill="1" applyBorder="1"/>
    <xf numFmtId="0" fontId="31" fillId="25" borderId="24" xfId="0" applyFont="1" applyFill="1" applyBorder="1" applyAlignment="1">
      <alignment horizontal="right"/>
    </xf>
    <xf numFmtId="0" fontId="38" fillId="25" borderId="24" xfId="0" applyFont="1" applyFill="1" applyBorder="1"/>
    <xf numFmtId="4" fontId="31" fillId="25" borderId="77" xfId="0" applyNumberFormat="1" applyFont="1" applyFill="1" applyBorder="1"/>
    <xf numFmtId="0" fontId="31" fillId="25" borderId="68" xfId="0" applyFont="1" applyFill="1" applyBorder="1"/>
    <xf numFmtId="0" fontId="31" fillId="25" borderId="78" xfId="0" applyFont="1" applyFill="1" applyBorder="1"/>
    <xf numFmtId="4" fontId="31" fillId="25" borderId="79" xfId="0" applyNumberFormat="1" applyFont="1" applyFill="1" applyBorder="1"/>
    <xf numFmtId="0" fontId="31" fillId="25" borderId="80" xfId="0" applyFont="1" applyFill="1" applyBorder="1"/>
    <xf numFmtId="164" fontId="31" fillId="25" borderId="0" xfId="0" applyNumberFormat="1" applyFont="1" applyFill="1"/>
    <xf numFmtId="164" fontId="35" fillId="25" borderId="0" xfId="0" applyNumberFormat="1" applyFont="1" applyFill="1"/>
    <xf numFmtId="174" fontId="31" fillId="25" borderId="0" xfId="0" applyNumberFormat="1" applyFont="1" applyFill="1"/>
    <xf numFmtId="4" fontId="37" fillId="38" borderId="46" xfId="0" applyNumberFormat="1" applyFont="1" applyFill="1" applyBorder="1" applyAlignment="1">
      <alignment horizontal="right"/>
    </xf>
    <xf numFmtId="4" fontId="30" fillId="38" borderId="20" xfId="0" applyNumberFormat="1" applyFont="1" applyFill="1" applyBorder="1" applyAlignment="1">
      <alignment horizontal="center"/>
    </xf>
    <xf numFmtId="173" fontId="35" fillId="24" borderId="81" xfId="0" applyNumberFormat="1" applyFont="1" applyFill="1" applyBorder="1"/>
    <xf numFmtId="0" fontId="35" fillId="24" borderId="81" xfId="0" applyFont="1" applyFill="1" applyBorder="1" applyAlignment="1">
      <alignment horizontal="center" wrapText="1"/>
    </xf>
    <xf numFmtId="0" fontId="30" fillId="39" borderId="82" xfId="0" applyFont="1" applyFill="1" applyBorder="1"/>
    <xf numFmtId="4" fontId="30" fillId="25" borderId="83" xfId="0" applyNumberFormat="1" applyFont="1" applyFill="1" applyBorder="1" applyAlignment="1">
      <alignment horizontal="center"/>
    </xf>
    <xf numFmtId="4" fontId="30" fillId="25" borderId="84" xfId="0" applyNumberFormat="1" applyFont="1" applyFill="1" applyBorder="1" applyAlignment="1">
      <alignment horizontal="center"/>
    </xf>
    <xf numFmtId="9" fontId="30" fillId="38" borderId="27" xfId="0" applyNumberFormat="1" applyFont="1" applyFill="1" applyBorder="1" applyAlignment="1">
      <alignment horizontal="right" vertical="center"/>
    </xf>
    <xf numFmtId="4" fontId="36" fillId="40" borderId="85" xfId="0" applyNumberFormat="1" applyFont="1" applyFill="1" applyBorder="1" applyAlignment="1" applyProtection="1">
      <alignment horizontal="center"/>
      <protection locked="0"/>
    </xf>
    <xf numFmtId="0" fontId="30" fillId="26" borderId="33" xfId="0" applyFont="1" applyFill="1" applyBorder="1" applyAlignment="1" applyProtection="1">
      <alignment horizontal="left"/>
    </xf>
    <xf numFmtId="0" fontId="30" fillId="26" borderId="46" xfId="0" applyFont="1" applyFill="1" applyBorder="1" applyProtection="1"/>
    <xf numFmtId="0" fontId="62" fillId="40" borderId="86" xfId="0" applyFont="1" applyFill="1" applyBorder="1" applyAlignment="1">
      <alignment horizontal="center" vertical="center"/>
    </xf>
    <xf numFmtId="0" fontId="62" fillId="40" borderId="87" xfId="0" applyFont="1" applyFill="1" applyBorder="1" applyAlignment="1">
      <alignment horizontal="center" vertical="center"/>
    </xf>
    <xf numFmtId="0" fontId="62" fillId="40" borderId="88" xfId="0" applyFont="1" applyFill="1" applyBorder="1" applyAlignment="1">
      <alignment horizontal="center" vertical="center"/>
    </xf>
    <xf numFmtId="2" fontId="30" fillId="41" borderId="22" xfId="0" applyNumberFormat="1" applyFont="1" applyFill="1" applyBorder="1" applyAlignment="1" applyProtection="1">
      <alignment horizontal="center"/>
    </xf>
    <xf numFmtId="0" fontId="30" fillId="41" borderId="24" xfId="0" applyFont="1" applyFill="1" applyBorder="1" applyAlignment="1" applyProtection="1">
      <alignment horizontal="center"/>
    </xf>
    <xf numFmtId="2" fontId="30" fillId="41" borderId="20" xfId="0" applyNumberFormat="1" applyFont="1" applyFill="1" applyBorder="1" applyAlignment="1" applyProtection="1">
      <alignment horizontal="center"/>
    </xf>
    <xf numFmtId="2" fontId="30" fillId="41" borderId="0" xfId="0" applyNumberFormat="1" applyFont="1" applyFill="1" applyBorder="1" applyAlignment="1" applyProtection="1">
      <alignment horizontal="center"/>
    </xf>
    <xf numFmtId="4" fontId="57" fillId="42" borderId="21" xfId="0" applyNumberFormat="1" applyFont="1" applyFill="1" applyBorder="1"/>
    <xf numFmtId="0" fontId="30" fillId="40" borderId="40" xfId="0" applyFont="1" applyFill="1" applyBorder="1"/>
    <xf numFmtId="4" fontId="36" fillId="41" borderId="20" xfId="0" applyNumberFormat="1" applyFont="1" applyFill="1" applyBorder="1" applyAlignment="1" applyProtection="1">
      <alignment horizontal="center"/>
    </xf>
    <xf numFmtId="0" fontId="30" fillId="40" borderId="45" xfId="0" applyFont="1" applyFill="1" applyBorder="1" applyAlignment="1">
      <alignment horizontal="center" vertical="center"/>
    </xf>
    <xf numFmtId="4" fontId="45" fillId="42" borderId="59" xfId="0" applyNumberFormat="1" applyFont="1" applyFill="1" applyBorder="1" applyAlignment="1">
      <alignment horizontal="center"/>
    </xf>
    <xf numFmtId="4" fontId="34" fillId="32" borderId="91" xfId="0" applyNumberFormat="1" applyFont="1" applyFill="1" applyBorder="1" applyAlignment="1">
      <alignment horizontal="center"/>
    </xf>
    <xf numFmtId="4" fontId="34" fillId="32" borderId="92" xfId="0" applyNumberFormat="1" applyFont="1" applyFill="1" applyBorder="1" applyAlignment="1">
      <alignment horizontal="center"/>
    </xf>
    <xf numFmtId="4" fontId="34" fillId="32" borderId="93" xfId="0" applyNumberFormat="1" applyFont="1" applyFill="1" applyBorder="1" applyAlignment="1">
      <alignment horizontal="center"/>
    </xf>
    <xf numFmtId="4" fontId="31" fillId="25" borderId="95" xfId="0" applyNumberFormat="1" applyFont="1" applyFill="1" applyBorder="1"/>
    <xf numFmtId="4" fontId="31" fillId="25" borderId="96" xfId="0" applyNumberFormat="1" applyFont="1" applyFill="1" applyBorder="1"/>
    <xf numFmtId="4" fontId="31" fillId="25" borderId="97" xfId="0" applyNumberFormat="1" applyFont="1" applyFill="1" applyBorder="1"/>
    <xf numFmtId="4" fontId="31" fillId="32" borderId="18" xfId="0" applyNumberFormat="1" applyFont="1" applyFill="1" applyBorder="1"/>
    <xf numFmtId="4" fontId="45" fillId="42" borderId="39" xfId="0" applyNumberFormat="1" applyFont="1" applyFill="1" applyBorder="1" applyAlignment="1">
      <alignment horizontal="center"/>
    </xf>
    <xf numFmtId="0" fontId="31" fillId="25" borderId="39" xfId="0" applyFont="1" applyFill="1" applyBorder="1" applyAlignment="1">
      <alignment horizontal="center" vertical="center"/>
    </xf>
    <xf numFmtId="0" fontId="31" fillId="25" borderId="39" xfId="0" applyFont="1" applyFill="1" applyBorder="1" applyAlignment="1">
      <alignment horizontal="center" vertical="center" wrapText="1"/>
    </xf>
    <xf numFmtId="4" fontId="45" fillId="32" borderId="39" xfId="0" applyNumberFormat="1" applyFont="1" applyFill="1" applyBorder="1" applyAlignment="1">
      <alignment horizontal="center"/>
    </xf>
    <xf numFmtId="4" fontId="31" fillId="25" borderId="54" xfId="0" applyNumberFormat="1" applyFont="1" applyFill="1" applyBorder="1" applyAlignment="1">
      <alignment horizontal="right" vertical="center"/>
    </xf>
    <xf numFmtId="4" fontId="31" fillId="32" borderId="54" xfId="0" applyNumberFormat="1" applyFont="1" applyFill="1" applyBorder="1" applyAlignment="1">
      <alignment horizontal="right" vertical="center"/>
    </xf>
    <xf numFmtId="4" fontId="31" fillId="32" borderId="54" xfId="0" applyNumberFormat="1" applyFont="1" applyFill="1" applyBorder="1" applyAlignment="1" applyProtection="1">
      <alignment horizontal="right" vertical="center"/>
      <protection hidden="1"/>
    </xf>
    <xf numFmtId="4" fontId="31" fillId="25" borderId="54" xfId="0" applyNumberFormat="1" applyFont="1" applyFill="1" applyBorder="1" applyAlignment="1" applyProtection="1">
      <alignment horizontal="right" vertical="center"/>
      <protection hidden="1"/>
    </xf>
    <xf numFmtId="4" fontId="31" fillId="32" borderId="98" xfId="0" applyNumberFormat="1" applyFont="1" applyFill="1" applyBorder="1" applyAlignment="1" applyProtection="1">
      <alignment horizontal="right" vertical="center"/>
      <protection hidden="1"/>
    </xf>
    <xf numFmtId="4" fontId="31" fillId="25" borderId="99" xfId="0" applyNumberFormat="1" applyFont="1" applyFill="1" applyBorder="1" applyAlignment="1">
      <alignment horizontal="right" vertical="center"/>
    </xf>
    <xf numFmtId="4" fontId="31" fillId="25" borderId="0" xfId="0" applyNumberFormat="1" applyFont="1" applyFill="1" applyBorder="1" applyAlignment="1">
      <alignment horizontal="right" vertical="center"/>
    </xf>
    <xf numFmtId="4" fontId="31" fillId="32" borderId="99" xfId="0" applyNumberFormat="1" applyFont="1" applyFill="1" applyBorder="1" applyAlignment="1">
      <alignment horizontal="right" vertical="center"/>
    </xf>
    <xf numFmtId="4" fontId="31" fillId="25" borderId="45" xfId="0" applyNumberFormat="1" applyFont="1" applyFill="1" applyBorder="1" applyAlignment="1">
      <alignment horizontal="right" vertical="center"/>
    </xf>
    <xf numFmtId="4" fontId="31" fillId="43" borderId="54" xfId="0" applyNumberFormat="1" applyFont="1" applyFill="1" applyBorder="1" applyAlignment="1">
      <alignment horizontal="right" vertical="center"/>
    </xf>
    <xf numFmtId="4" fontId="31" fillId="25" borderId="54" xfId="0" quotePrefix="1" applyNumberFormat="1" applyFont="1" applyFill="1" applyBorder="1" applyAlignment="1">
      <alignment horizontal="right" vertical="center"/>
    </xf>
    <xf numFmtId="4" fontId="31" fillId="25" borderId="100" xfId="0" applyNumberFormat="1" applyFont="1" applyFill="1" applyBorder="1" applyAlignment="1">
      <alignment horizontal="right" vertical="center"/>
    </xf>
    <xf numFmtId="167" fontId="31" fillId="25" borderId="0" xfId="0" applyNumberFormat="1" applyFont="1" applyFill="1" applyBorder="1" applyAlignment="1">
      <alignment horizontal="right" vertical="center"/>
    </xf>
    <xf numFmtId="167" fontId="31" fillId="25" borderId="45" xfId="0" applyNumberFormat="1" applyFont="1" applyFill="1" applyBorder="1" applyAlignment="1">
      <alignment horizontal="right" vertical="center"/>
    </xf>
    <xf numFmtId="167" fontId="35" fillId="25" borderId="0" xfId="0" applyNumberFormat="1" applyFont="1" applyFill="1" applyBorder="1" applyAlignment="1">
      <alignment horizontal="right" vertical="center"/>
    </xf>
    <xf numFmtId="167" fontId="35" fillId="25" borderId="45" xfId="0" applyNumberFormat="1" applyFont="1" applyFill="1" applyBorder="1" applyAlignment="1">
      <alignment horizontal="right" vertical="center"/>
    </xf>
    <xf numFmtId="0" fontId="31" fillId="25" borderId="0" xfId="0" applyFont="1" applyFill="1" applyBorder="1" applyAlignment="1">
      <alignment horizontal="right" vertical="center"/>
    </xf>
    <xf numFmtId="0" fontId="38" fillId="38" borderId="24" xfId="0" applyFont="1" applyFill="1" applyBorder="1" applyAlignment="1">
      <alignment horizontal="right" vertical="center"/>
    </xf>
    <xf numFmtId="0" fontId="33" fillId="25" borderId="0" xfId="0" applyFont="1" applyFill="1" applyBorder="1" applyAlignment="1">
      <alignment horizontal="right" vertical="center"/>
    </xf>
    <xf numFmtId="4" fontId="45" fillId="25" borderId="60" xfId="0" applyNumberFormat="1" applyFont="1" applyFill="1" applyBorder="1" applyAlignment="1">
      <alignment horizontal="right" vertical="center"/>
    </xf>
    <xf numFmtId="4" fontId="45" fillId="25" borderId="61" xfId="0" applyNumberFormat="1" applyFont="1" applyFill="1" applyBorder="1" applyAlignment="1">
      <alignment horizontal="right" vertical="center"/>
    </xf>
    <xf numFmtId="165" fontId="45" fillId="25" borderId="61" xfId="0" applyNumberFormat="1" applyFont="1" applyFill="1" applyBorder="1" applyAlignment="1">
      <alignment horizontal="right" vertical="center"/>
    </xf>
    <xf numFmtId="165" fontId="45" fillId="25" borderId="62" xfId="0" applyNumberFormat="1" applyFont="1" applyFill="1" applyBorder="1" applyAlignment="1">
      <alignment horizontal="right" vertical="center"/>
    </xf>
    <xf numFmtId="0" fontId="38" fillId="25" borderId="0" xfId="0" applyFont="1" applyFill="1" applyBorder="1" applyAlignment="1">
      <alignment horizontal="right" vertical="center"/>
    </xf>
    <xf numFmtId="4" fontId="31" fillId="25" borderId="48" xfId="0" applyNumberFormat="1" applyFont="1" applyFill="1" applyBorder="1" applyAlignment="1">
      <alignment horizontal="right" vertical="center"/>
    </xf>
    <xf numFmtId="4" fontId="31" fillId="37" borderId="69" xfId="0" applyNumberFormat="1" applyFont="1" applyFill="1" applyBorder="1" applyAlignment="1">
      <alignment horizontal="right" vertical="center"/>
    </xf>
    <xf numFmtId="4" fontId="30" fillId="25" borderId="54" xfId="0" applyNumberFormat="1" applyFont="1" applyFill="1" applyBorder="1" applyAlignment="1">
      <alignment horizontal="right" vertical="center"/>
    </xf>
    <xf numFmtId="4" fontId="30" fillId="25" borderId="0" xfId="0" applyNumberFormat="1" applyFont="1" applyFill="1" applyBorder="1" applyAlignment="1">
      <alignment horizontal="right" vertical="center"/>
    </xf>
    <xf numFmtId="4" fontId="34" fillId="24" borderId="29" xfId="0" applyNumberFormat="1" applyFont="1" applyFill="1" applyBorder="1" applyAlignment="1">
      <alignment horizontal="right" vertical="center" wrapText="1"/>
    </xf>
    <xf numFmtId="4" fontId="38" fillId="25" borderId="41" xfId="0" applyNumberFormat="1" applyFont="1" applyFill="1" applyBorder="1" applyAlignment="1">
      <alignment horizontal="right" vertical="center"/>
    </xf>
    <xf numFmtId="4" fontId="38" fillId="25" borderId="39" xfId="0" applyNumberFormat="1" applyFont="1" applyFill="1" applyBorder="1" applyAlignment="1">
      <alignment horizontal="right" vertical="center"/>
    </xf>
    <xf numFmtId="4" fontId="38" fillId="25" borderId="42" xfId="0" applyNumberFormat="1" applyFont="1" applyFill="1" applyBorder="1" applyAlignment="1">
      <alignment horizontal="right" vertical="center"/>
    </xf>
    <xf numFmtId="4" fontId="38" fillId="33" borderId="55" xfId="0" applyNumberFormat="1" applyFont="1" applyFill="1" applyBorder="1" applyAlignment="1">
      <alignment horizontal="right" vertical="center"/>
    </xf>
    <xf numFmtId="4" fontId="38" fillId="25" borderId="0" xfId="0" applyNumberFormat="1" applyFont="1" applyFill="1" applyBorder="1" applyAlignment="1">
      <alignment horizontal="right" vertical="center"/>
    </xf>
    <xf numFmtId="3" fontId="31" fillId="25" borderId="54" xfId="0" applyNumberFormat="1" applyFont="1" applyFill="1" applyBorder="1" applyAlignment="1">
      <alignment horizontal="right" vertical="center"/>
    </xf>
    <xf numFmtId="3" fontId="31" fillId="25" borderId="98" xfId="0" applyNumberFormat="1" applyFont="1" applyFill="1" applyBorder="1" applyAlignment="1">
      <alignment horizontal="right" vertical="center"/>
    </xf>
    <xf numFmtId="170" fontId="31" fillId="25" borderId="45" xfId="0" applyNumberFormat="1" applyFont="1" applyFill="1" applyBorder="1" applyAlignment="1">
      <alignment horizontal="right" vertical="center"/>
    </xf>
    <xf numFmtId="0" fontId="45" fillId="25" borderId="0" xfId="0" applyFont="1" applyFill="1" applyBorder="1" applyAlignment="1">
      <alignment horizontal="right" vertical="center"/>
    </xf>
    <xf numFmtId="0" fontId="31" fillId="25" borderId="0" xfId="0" applyFont="1" applyFill="1" applyAlignment="1">
      <alignment horizontal="right" vertical="center"/>
    </xf>
    <xf numFmtId="4" fontId="53" fillId="28" borderId="48" xfId="0" applyNumberFormat="1" applyFont="1" applyFill="1" applyBorder="1" applyAlignment="1">
      <alignment horizontal="right" vertical="center"/>
    </xf>
    <xf numFmtId="4" fontId="31" fillId="25" borderId="0" xfId="0" applyNumberFormat="1" applyFont="1" applyFill="1" applyAlignment="1">
      <alignment horizontal="right" vertical="center"/>
    </xf>
    <xf numFmtId="4" fontId="45" fillId="32" borderId="59" xfId="0" applyNumberFormat="1" applyFont="1" applyFill="1" applyBorder="1" applyAlignment="1">
      <alignment horizontal="center"/>
    </xf>
    <xf numFmtId="0" fontId="63" fillId="26" borderId="101" xfId="0" applyFont="1" applyFill="1" applyBorder="1" applyAlignment="1">
      <alignment horizontal="center"/>
    </xf>
    <xf numFmtId="0" fontId="63" fillId="26" borderId="102" xfId="0" applyFont="1" applyFill="1" applyBorder="1" applyAlignment="1">
      <alignment horizontal="center"/>
    </xf>
    <xf numFmtId="0" fontId="63" fillId="26" borderId="103" xfId="0" applyFont="1" applyFill="1" applyBorder="1" applyAlignment="1">
      <alignment horizontal="center"/>
    </xf>
    <xf numFmtId="0" fontId="38" fillId="25" borderId="104" xfId="0" applyFont="1" applyFill="1" applyBorder="1" applyAlignment="1">
      <alignment horizontal="right" vertical="center"/>
    </xf>
    <xf numFmtId="0" fontId="38" fillId="25" borderId="105" xfId="0" applyFont="1" applyFill="1" applyBorder="1" applyAlignment="1">
      <alignment horizontal="right" vertical="center"/>
    </xf>
    <xf numFmtId="4" fontId="30" fillId="25" borderId="13" xfId="0" applyNumberFormat="1" applyFont="1" applyFill="1" applyBorder="1" applyAlignment="1">
      <alignment horizontal="center"/>
    </xf>
    <xf numFmtId="9" fontId="30" fillId="38" borderId="30" xfId="0" applyNumberFormat="1" applyFont="1" applyFill="1" applyBorder="1" applyAlignment="1">
      <alignment horizontal="right" vertical="center"/>
    </xf>
    <xf numFmtId="4" fontId="64" fillId="25" borderId="109" xfId="0" applyNumberFormat="1" applyFont="1" applyFill="1" applyBorder="1"/>
    <xf numFmtId="4" fontId="64" fillId="32" borderId="109" xfId="0" applyNumberFormat="1" applyFont="1" applyFill="1" applyBorder="1"/>
    <xf numFmtId="4" fontId="64" fillId="32" borderId="27" xfId="0" applyNumberFormat="1" applyFont="1" applyFill="1" applyBorder="1"/>
    <xf numFmtId="4" fontId="57" fillId="32" borderId="21" xfId="0" applyNumberFormat="1" applyFont="1" applyFill="1" applyBorder="1"/>
    <xf numFmtId="0" fontId="63" fillId="26" borderId="110" xfId="0" applyFont="1" applyFill="1" applyBorder="1" applyAlignment="1">
      <alignment horizontal="center"/>
    </xf>
    <xf numFmtId="0" fontId="38" fillId="38" borderId="86" xfId="0" applyFont="1" applyFill="1" applyBorder="1" applyAlignment="1">
      <alignment horizontal="right" vertical="center"/>
    </xf>
    <xf numFmtId="9" fontId="30" fillId="38" borderId="87" xfId="0" applyNumberFormat="1" applyFont="1" applyFill="1" applyBorder="1" applyAlignment="1">
      <alignment horizontal="right" vertical="center"/>
    </xf>
    <xf numFmtId="4" fontId="64" fillId="32" borderId="111" xfId="0" applyNumberFormat="1" applyFont="1" applyFill="1" applyBorder="1"/>
    <xf numFmtId="9" fontId="31" fillId="38" borderId="68" xfId="0" applyNumberFormat="1" applyFont="1" applyFill="1" applyBorder="1"/>
    <xf numFmtId="9" fontId="31" fillId="38" borderId="22" xfId="0" applyNumberFormat="1" applyFont="1" applyFill="1" applyBorder="1"/>
    <xf numFmtId="0" fontId="31" fillId="38" borderId="28" xfId="0" applyFont="1" applyFill="1" applyBorder="1"/>
    <xf numFmtId="9" fontId="31" fillId="38" borderId="112" xfId="0" applyNumberFormat="1" applyFont="1" applyFill="1" applyBorder="1"/>
    <xf numFmtId="9" fontId="31" fillId="38" borderId="0" xfId="0" applyNumberFormat="1" applyFont="1" applyFill="1" applyBorder="1"/>
    <xf numFmtId="0" fontId="31" fillId="38" borderId="33" xfId="0" applyFont="1" applyFill="1" applyBorder="1"/>
    <xf numFmtId="9" fontId="31" fillId="38" borderId="78" xfId="0" applyNumberFormat="1" applyFont="1" applyFill="1" applyBorder="1"/>
    <xf numFmtId="9" fontId="31" fillId="38" borderId="24" xfId="0" applyNumberFormat="1" applyFont="1" applyFill="1" applyBorder="1"/>
    <xf numFmtId="0" fontId="31" fillId="38" borderId="27" xfId="0" applyFont="1" applyFill="1" applyBorder="1"/>
    <xf numFmtId="4" fontId="31" fillId="32" borderId="113" xfId="0" applyNumberFormat="1" applyFont="1" applyFill="1" applyBorder="1" applyAlignment="1" applyProtection="1">
      <alignment horizontal="right" vertical="center"/>
      <protection hidden="1"/>
    </xf>
    <xf numFmtId="4" fontId="31" fillId="32" borderId="114" xfId="0" applyNumberFormat="1" applyFont="1" applyFill="1" applyBorder="1" applyAlignment="1" applyProtection="1">
      <alignment horizontal="right" vertical="center"/>
      <protection hidden="1"/>
    </xf>
    <xf numFmtId="167" fontId="31" fillId="30" borderId="115" xfId="0" applyNumberFormat="1" applyFont="1" applyFill="1" applyBorder="1"/>
    <xf numFmtId="167" fontId="31" fillId="30" borderId="49" xfId="0" applyNumberFormat="1" applyFont="1" applyFill="1" applyBorder="1"/>
    <xf numFmtId="4" fontId="31" fillId="32" borderId="116" xfId="0" applyNumberFormat="1" applyFont="1" applyFill="1" applyBorder="1" applyAlignment="1" applyProtection="1">
      <alignment horizontal="right" vertical="center"/>
      <protection hidden="1"/>
    </xf>
    <xf numFmtId="4" fontId="31" fillId="25" borderId="60" xfId="0" applyNumberFormat="1" applyFont="1" applyFill="1" applyBorder="1"/>
    <xf numFmtId="4" fontId="31" fillId="25" borderId="117" xfId="0" applyNumberFormat="1" applyFont="1" applyFill="1" applyBorder="1"/>
    <xf numFmtId="4" fontId="31" fillId="25" borderId="61" xfId="0" applyNumberFormat="1" applyFont="1" applyFill="1" applyBorder="1"/>
    <xf numFmtId="4" fontId="31" fillId="25" borderId="62" xfId="0" applyNumberFormat="1" applyFont="1" applyFill="1" applyBorder="1"/>
    <xf numFmtId="4" fontId="31" fillId="25" borderId="119" xfId="0" applyNumberFormat="1" applyFont="1" applyFill="1" applyBorder="1"/>
    <xf numFmtId="0" fontId="30" fillId="40" borderId="121" xfId="0" applyFont="1" applyFill="1" applyBorder="1"/>
    <xf numFmtId="0" fontId="30" fillId="40" borderId="122" xfId="0" applyFont="1" applyFill="1" applyBorder="1"/>
    <xf numFmtId="0" fontId="31" fillId="25" borderId="123" xfId="0" applyFont="1" applyFill="1" applyBorder="1"/>
    <xf numFmtId="0" fontId="65" fillId="25" borderId="124" xfId="0" applyFont="1" applyFill="1" applyBorder="1"/>
    <xf numFmtId="0" fontId="31" fillId="25" borderId="125" xfId="0" applyFont="1" applyFill="1" applyBorder="1"/>
    <xf numFmtId="0" fontId="38" fillId="25" borderId="126" xfId="0" applyFont="1" applyFill="1" applyBorder="1"/>
    <xf numFmtId="4" fontId="31" fillId="32" borderId="127" xfId="0" applyNumberFormat="1" applyFont="1" applyFill="1" applyBorder="1" applyAlignment="1">
      <alignment horizontal="right" vertical="center"/>
    </xf>
    <xf numFmtId="4" fontId="31" fillId="32" borderId="128" xfId="0" applyNumberFormat="1" applyFont="1" applyFill="1" applyBorder="1" applyAlignment="1">
      <alignment horizontal="right" vertical="center"/>
    </xf>
    <xf numFmtId="4" fontId="31" fillId="32" borderId="113" xfId="0" applyNumberFormat="1" applyFont="1" applyFill="1" applyBorder="1" applyAlignment="1">
      <alignment horizontal="right" vertical="center"/>
    </xf>
    <xf numFmtId="4" fontId="31" fillId="32" borderId="129" xfId="0" applyNumberFormat="1" applyFont="1" applyFill="1" applyBorder="1" applyAlignment="1">
      <alignment horizontal="right" vertical="center"/>
    </xf>
    <xf numFmtId="4" fontId="31" fillId="32" borderId="130" xfId="0" applyNumberFormat="1" applyFont="1" applyFill="1" applyBorder="1" applyAlignment="1">
      <alignment horizontal="right" vertical="center"/>
    </xf>
    <xf numFmtId="4" fontId="31" fillId="32" borderId="131" xfId="0" applyNumberFormat="1" applyFont="1" applyFill="1" applyBorder="1" applyAlignment="1">
      <alignment horizontal="right" vertical="center"/>
    </xf>
    <xf numFmtId="4" fontId="31" fillId="32" borderId="114" xfId="0" applyNumberFormat="1" applyFont="1" applyFill="1" applyBorder="1" applyAlignment="1">
      <alignment horizontal="right" vertical="center"/>
    </xf>
    <xf numFmtId="0" fontId="52" fillId="28" borderId="47" xfId="0" applyFont="1" applyFill="1" applyBorder="1" applyAlignment="1">
      <alignment horizontal="left"/>
    </xf>
    <xf numFmtId="0" fontId="52" fillId="28" borderId="48" xfId="0" applyFont="1" applyFill="1" applyBorder="1" applyAlignment="1">
      <alignment horizontal="left"/>
    </xf>
    <xf numFmtId="0" fontId="52" fillId="28" borderId="46" xfId="0" applyFont="1" applyFill="1" applyBorder="1" applyAlignment="1">
      <alignment horizontal="left"/>
    </xf>
    <xf numFmtId="0" fontId="52" fillId="28" borderId="20" xfId="0" applyFont="1" applyFill="1" applyBorder="1" applyAlignment="1">
      <alignment horizontal="left"/>
    </xf>
    <xf numFmtId="0" fontId="31" fillId="25" borderId="132" xfId="0" applyFont="1" applyFill="1" applyBorder="1"/>
    <xf numFmtId="4" fontId="45" fillId="42" borderId="133" xfId="0" applyNumberFormat="1" applyFont="1" applyFill="1" applyBorder="1" applyAlignment="1">
      <alignment horizontal="center"/>
    </xf>
    <xf numFmtId="4" fontId="31" fillId="32" borderId="135" xfId="0" applyNumberFormat="1" applyFont="1" applyFill="1" applyBorder="1" applyAlignment="1">
      <alignment horizontal="right" vertical="center"/>
    </xf>
    <xf numFmtId="0" fontId="31" fillId="25" borderId="136" xfId="0" applyFont="1" applyFill="1" applyBorder="1"/>
    <xf numFmtId="0" fontId="31" fillId="25" borderId="22" xfId="0" applyFont="1" applyFill="1" applyBorder="1" applyAlignment="1">
      <alignment horizontal="left"/>
    </xf>
    <xf numFmtId="4" fontId="45" fillId="42" borderId="137" xfId="0" applyNumberFormat="1" applyFont="1" applyFill="1" applyBorder="1" applyAlignment="1">
      <alignment horizontal="center"/>
    </xf>
    <xf numFmtId="4" fontId="45" fillId="42" borderId="138" xfId="0" applyNumberFormat="1" applyFont="1" applyFill="1" applyBorder="1" applyAlignment="1">
      <alignment horizontal="center"/>
    </xf>
    <xf numFmtId="4" fontId="31" fillId="42" borderId="54" xfId="0" applyNumberFormat="1" applyFont="1" applyFill="1" applyBorder="1" applyAlignment="1">
      <alignment horizontal="right" vertical="center"/>
    </xf>
    <xf numFmtId="164" fontId="31" fillId="25" borderId="22" xfId="0" applyNumberFormat="1" applyFont="1" applyFill="1" applyBorder="1"/>
    <xf numFmtId="4" fontId="31" fillId="25" borderId="28" xfId="0" applyNumberFormat="1" applyFont="1" applyFill="1" applyBorder="1"/>
    <xf numFmtId="4" fontId="31" fillId="42" borderId="39" xfId="0" applyNumberFormat="1" applyFont="1" applyFill="1" applyBorder="1" applyAlignment="1">
      <alignment horizontal="right" vertical="center"/>
    </xf>
    <xf numFmtId="4" fontId="31" fillId="42" borderId="71" xfId="0" applyNumberFormat="1" applyFont="1" applyFill="1" applyBorder="1" applyAlignment="1">
      <alignment horizontal="right" vertical="center"/>
    </xf>
    <xf numFmtId="0" fontId="31" fillId="40" borderId="139" xfId="0" applyFont="1" applyFill="1" applyBorder="1"/>
    <xf numFmtId="0" fontId="31" fillId="40" borderId="122" xfId="0" applyFont="1" applyFill="1" applyBorder="1"/>
    <xf numFmtId="4" fontId="31" fillId="42" borderId="41" xfId="0" applyNumberFormat="1" applyFont="1" applyFill="1" applyBorder="1" applyAlignment="1">
      <alignment horizontal="right" vertical="center"/>
    </xf>
    <xf numFmtId="4" fontId="31" fillId="44" borderId="21" xfId="0" applyNumberFormat="1" applyFont="1" applyFill="1" applyBorder="1" applyAlignment="1">
      <alignment horizontal="right" vertical="center"/>
    </xf>
    <xf numFmtId="4" fontId="31" fillId="42" borderId="140" xfId="0" applyNumberFormat="1" applyFont="1" applyFill="1" applyBorder="1"/>
    <xf numFmtId="4" fontId="31" fillId="42" borderId="141" xfId="0" applyNumberFormat="1" applyFont="1" applyFill="1" applyBorder="1"/>
    <xf numFmtId="4" fontId="31" fillId="42" borderId="142" xfId="0" applyNumberFormat="1" applyFont="1" applyFill="1" applyBorder="1"/>
    <xf numFmtId="4" fontId="31" fillId="42" borderId="143" xfId="0" applyNumberFormat="1" applyFont="1" applyFill="1" applyBorder="1"/>
    <xf numFmtId="4" fontId="31" fillId="42" borderId="144" xfId="0" applyNumberFormat="1" applyFont="1" applyFill="1" applyBorder="1"/>
    <xf numFmtId="4" fontId="31" fillId="42" borderId="145" xfId="0" applyNumberFormat="1" applyFont="1" applyFill="1" applyBorder="1"/>
    <xf numFmtId="0" fontId="31" fillId="42" borderId="146" xfId="0" applyFont="1" applyFill="1" applyBorder="1"/>
    <xf numFmtId="0" fontId="31" fillId="42" borderId="58" xfId="0" applyFont="1" applyFill="1" applyBorder="1"/>
    <xf numFmtId="0" fontId="31" fillId="42" borderId="138" xfId="0" applyFont="1" applyFill="1" applyBorder="1"/>
    <xf numFmtId="4" fontId="31" fillId="32" borderId="147" xfId="0" applyNumberFormat="1" applyFont="1" applyFill="1" applyBorder="1" applyAlignment="1">
      <alignment horizontal="center"/>
    </xf>
    <xf numFmtId="4" fontId="31" fillId="32" borderId="148" xfId="0" applyNumberFormat="1" applyFont="1" applyFill="1" applyBorder="1" applyAlignment="1">
      <alignment horizontal="center"/>
    </xf>
    <xf numFmtId="4" fontId="31" fillId="32" borderId="149" xfId="0" applyNumberFormat="1" applyFont="1" applyFill="1" applyBorder="1" applyAlignment="1">
      <alignment horizontal="center"/>
    </xf>
    <xf numFmtId="4" fontId="31" fillId="32" borderId="41" xfId="0" applyNumberFormat="1" applyFont="1" applyFill="1" applyBorder="1" applyAlignment="1">
      <alignment horizontal="right" vertical="center"/>
    </xf>
    <xf numFmtId="4" fontId="31" fillId="32" borderId="150" xfId="0" applyNumberFormat="1" applyFont="1" applyFill="1" applyBorder="1" applyAlignment="1">
      <alignment horizontal="right" vertical="center"/>
    </xf>
    <xf numFmtId="0" fontId="31" fillId="40" borderId="40" xfId="0" applyFont="1" applyFill="1" applyBorder="1" applyAlignment="1">
      <alignment horizontal="center"/>
    </xf>
    <xf numFmtId="9" fontId="45" fillId="42" borderId="59" xfId="0" applyNumberFormat="1" applyFont="1" applyFill="1" applyBorder="1" applyAlignment="1">
      <alignment horizontal="center"/>
    </xf>
    <xf numFmtId="4" fontId="37" fillId="25" borderId="18" xfId="0" applyNumberFormat="1" applyFont="1" applyFill="1" applyBorder="1"/>
    <xf numFmtId="4" fontId="37" fillId="25" borderId="0" xfId="0" applyNumberFormat="1" applyFont="1" applyFill="1" applyBorder="1"/>
    <xf numFmtId="4" fontId="31" fillId="45" borderId="18" xfId="0" applyNumberFormat="1" applyFont="1" applyFill="1" applyBorder="1"/>
    <xf numFmtId="9" fontId="45" fillId="25" borderId="0" xfId="0" applyNumberFormat="1" applyFont="1" applyFill="1" applyBorder="1" applyAlignment="1">
      <alignment horizontal="center"/>
    </xf>
    <xf numFmtId="4" fontId="31" fillId="42" borderId="99" xfId="0" applyNumberFormat="1" applyFont="1" applyFill="1" applyBorder="1" applyAlignment="1">
      <alignment horizontal="right" vertical="center"/>
    </xf>
    <xf numFmtId="9" fontId="45" fillId="42" borderId="151" xfId="0" applyNumberFormat="1" applyFont="1" applyFill="1" applyBorder="1" applyAlignment="1">
      <alignment horizontal="center"/>
    </xf>
    <xf numFmtId="9" fontId="45" fillId="25" borderId="151" xfId="0" applyNumberFormat="1" applyFont="1" applyFill="1" applyBorder="1" applyAlignment="1">
      <alignment horizontal="center"/>
    </xf>
    <xf numFmtId="4" fontId="31" fillId="42" borderId="152" xfId="0" applyNumberFormat="1" applyFont="1" applyFill="1" applyBorder="1" applyAlignment="1">
      <alignment horizontal="right" vertical="center"/>
    </xf>
    <xf numFmtId="4" fontId="31" fillId="42" borderId="153" xfId="0" applyNumberFormat="1" applyFont="1" applyFill="1" applyBorder="1" applyAlignment="1">
      <alignment horizontal="right" vertical="center"/>
    </xf>
    <xf numFmtId="9" fontId="45" fillId="32" borderId="59" xfId="0" applyNumberFormat="1" applyFont="1" applyFill="1" applyBorder="1" applyAlignment="1">
      <alignment horizontal="center"/>
    </xf>
    <xf numFmtId="4" fontId="31" fillId="32" borderId="157" xfId="0" applyNumberFormat="1" applyFont="1" applyFill="1" applyBorder="1" applyAlignment="1">
      <alignment horizontal="right" vertical="center"/>
    </xf>
    <xf numFmtId="4" fontId="31" fillId="32" borderId="158" xfId="0" applyNumberFormat="1" applyFont="1" applyFill="1" applyBorder="1" applyAlignment="1">
      <alignment horizontal="right" vertical="center"/>
    </xf>
    <xf numFmtId="4" fontId="31" fillId="32" borderId="159" xfId="0" applyNumberFormat="1" applyFont="1" applyFill="1" applyBorder="1" applyAlignment="1">
      <alignment horizontal="right" vertical="center"/>
    </xf>
    <xf numFmtId="4" fontId="30" fillId="25" borderId="0" xfId="0" applyNumberFormat="1" applyFont="1" applyFill="1" applyBorder="1" applyAlignment="1"/>
    <xf numFmtId="4" fontId="31" fillId="42" borderId="160" xfId="0" applyNumberFormat="1" applyFont="1" applyFill="1" applyBorder="1" applyAlignment="1">
      <alignment horizontal="right" vertical="center"/>
    </xf>
    <xf numFmtId="4" fontId="31" fillId="42" borderId="161" xfId="0" applyNumberFormat="1" applyFont="1" applyFill="1" applyBorder="1" applyAlignment="1">
      <alignment horizontal="right" vertical="center"/>
    </xf>
    <xf numFmtId="4" fontId="31" fillId="32" borderId="162" xfId="0" applyNumberFormat="1" applyFont="1" applyFill="1" applyBorder="1" applyAlignment="1">
      <alignment horizontal="right" vertical="center"/>
    </xf>
    <xf numFmtId="0" fontId="38" fillId="25" borderId="17" xfId="0" applyFont="1" applyFill="1" applyBorder="1"/>
    <xf numFmtId="4" fontId="31" fillId="42" borderId="45" xfId="0" applyNumberFormat="1" applyFont="1" applyFill="1" applyBorder="1" applyAlignment="1">
      <alignment horizontal="right" vertical="center"/>
    </xf>
    <xf numFmtId="0" fontId="31" fillId="30" borderId="121" xfId="0" applyFont="1" applyFill="1" applyBorder="1"/>
    <xf numFmtId="0" fontId="31" fillId="30" borderId="23" xfId="0" applyFont="1" applyFill="1" applyBorder="1" applyAlignment="1">
      <alignment horizontal="right"/>
    </xf>
    <xf numFmtId="4" fontId="31" fillId="25" borderId="23" xfId="0" applyNumberFormat="1" applyFont="1" applyFill="1" applyBorder="1"/>
    <xf numFmtId="0" fontId="31" fillId="30" borderId="139" xfId="0" applyFont="1" applyFill="1" applyBorder="1"/>
    <xf numFmtId="0" fontId="31" fillId="30" borderId="17" xfId="0" applyFont="1" applyFill="1" applyBorder="1" applyAlignment="1">
      <alignment horizontal="right"/>
    </xf>
    <xf numFmtId="4" fontId="31" fillId="25" borderId="17" xfId="0" applyNumberFormat="1" applyFont="1" applyFill="1" applyBorder="1"/>
    <xf numFmtId="0" fontId="31" fillId="30" borderId="122" xfId="0" applyFont="1" applyFill="1" applyBorder="1"/>
    <xf numFmtId="0" fontId="31" fillId="30" borderId="32" xfId="0" applyFont="1" applyFill="1" applyBorder="1" applyAlignment="1">
      <alignment horizontal="right"/>
    </xf>
    <xf numFmtId="4" fontId="31" fillId="25" borderId="32" xfId="0" applyNumberFormat="1" applyFont="1" applyFill="1" applyBorder="1"/>
    <xf numFmtId="4" fontId="31" fillId="25" borderId="91" xfId="0" applyNumberFormat="1" applyFont="1" applyFill="1" applyBorder="1" applyAlignment="1">
      <alignment horizontal="right" vertical="center"/>
    </xf>
    <xf numFmtId="4" fontId="31" fillId="25" borderId="92" xfId="0" applyNumberFormat="1" applyFont="1" applyFill="1" applyBorder="1" applyAlignment="1">
      <alignment horizontal="right" vertical="center"/>
    </xf>
    <xf numFmtId="4" fontId="31" fillId="32" borderId="92" xfId="0" applyNumberFormat="1" applyFont="1" applyFill="1" applyBorder="1" applyAlignment="1">
      <alignment horizontal="right" vertical="center"/>
    </xf>
    <xf numFmtId="4" fontId="31" fillId="25" borderId="93" xfId="0" applyNumberFormat="1" applyFont="1" applyFill="1" applyBorder="1" applyAlignment="1">
      <alignment horizontal="right" vertical="center"/>
    </xf>
    <xf numFmtId="0" fontId="56" fillId="25" borderId="0" xfId="0" applyFont="1" applyFill="1" applyBorder="1" applyAlignment="1">
      <alignment horizontal="left" vertical="center"/>
    </xf>
    <xf numFmtId="166" fontId="34" fillId="25" borderId="164" xfId="0" applyNumberFormat="1" applyFont="1" applyFill="1" applyBorder="1" applyAlignment="1">
      <alignment horizontal="center"/>
    </xf>
    <xf numFmtId="0" fontId="31" fillId="46" borderId="121" xfId="0" applyFont="1" applyFill="1" applyBorder="1" applyAlignment="1">
      <alignment horizontal="center"/>
    </xf>
    <xf numFmtId="0" fontId="31" fillId="44" borderId="22" xfId="0" applyFont="1" applyFill="1" applyBorder="1"/>
    <xf numFmtId="4" fontId="31" fillId="44" borderId="165" xfId="0" applyNumberFormat="1" applyFont="1" applyFill="1" applyBorder="1" applyAlignment="1" applyProtection="1">
      <alignment horizontal="right" vertical="center"/>
      <protection hidden="1"/>
    </xf>
    <xf numFmtId="4" fontId="31" fillId="44" borderId="60" xfId="0" applyNumberFormat="1" applyFont="1" applyFill="1" applyBorder="1"/>
    <xf numFmtId="0" fontId="31" fillId="44" borderId="112" xfId="0" applyFont="1" applyFill="1" applyBorder="1"/>
    <xf numFmtId="0" fontId="31" fillId="44" borderId="0" xfId="0" applyFont="1" applyFill="1" applyBorder="1"/>
    <xf numFmtId="4" fontId="31" fillId="44" borderId="0" xfId="0" applyNumberFormat="1" applyFont="1" applyFill="1" applyBorder="1" applyAlignment="1">
      <alignment horizontal="right" vertical="center"/>
    </xf>
    <xf numFmtId="4" fontId="31" fillId="44" borderId="33" xfId="0" applyNumberFormat="1" applyFont="1" applyFill="1" applyBorder="1"/>
    <xf numFmtId="0" fontId="31" fillId="46" borderId="139" xfId="0" applyFont="1" applyFill="1" applyBorder="1" applyAlignment="1">
      <alignment horizontal="center"/>
    </xf>
    <xf numFmtId="4" fontId="31" fillId="44" borderId="54" xfId="0" applyNumberFormat="1" applyFont="1" applyFill="1" applyBorder="1" applyAlignment="1" applyProtection="1">
      <alignment horizontal="right" vertical="center"/>
      <protection hidden="1"/>
    </xf>
    <xf numFmtId="4" fontId="31" fillId="44" borderId="61" xfId="0" applyNumberFormat="1" applyFont="1" applyFill="1" applyBorder="1"/>
    <xf numFmtId="0" fontId="31" fillId="46" borderId="122" xfId="0" applyFont="1" applyFill="1" applyBorder="1" applyAlignment="1">
      <alignment horizontal="center"/>
    </xf>
    <xf numFmtId="0" fontId="31" fillId="44" borderId="24" xfId="0" applyFont="1" applyFill="1" applyBorder="1"/>
    <xf numFmtId="4" fontId="31" fillId="44" borderId="166" xfId="0" applyNumberFormat="1" applyFont="1" applyFill="1" applyBorder="1" applyAlignment="1" applyProtection="1">
      <alignment horizontal="right" vertical="center"/>
      <protection hidden="1"/>
    </xf>
    <xf numFmtId="4" fontId="31" fillId="44" borderId="62" xfId="0" applyNumberFormat="1" applyFont="1" applyFill="1" applyBorder="1"/>
    <xf numFmtId="167" fontId="35" fillId="32" borderId="54" xfId="0" applyNumberFormat="1" applyFont="1" applyFill="1" applyBorder="1" applyAlignment="1">
      <alignment horizontal="right" vertical="center"/>
    </xf>
    <xf numFmtId="167" fontId="31" fillId="32" borderId="54" xfId="0" applyNumberFormat="1" applyFont="1" applyFill="1" applyBorder="1" applyAlignment="1">
      <alignment horizontal="right" vertical="center"/>
    </xf>
    <xf numFmtId="0" fontId="57" fillId="25" borderId="0" xfId="0" applyFont="1" applyFill="1" applyBorder="1" applyAlignment="1">
      <alignment horizontal="right"/>
    </xf>
    <xf numFmtId="0" fontId="69" fillId="49" borderId="22" xfId="0" applyFont="1" applyFill="1" applyBorder="1" applyAlignment="1">
      <alignment horizontal="center" vertical="center"/>
    </xf>
    <xf numFmtId="4" fontId="69" fillId="49" borderId="22" xfId="0" applyNumberFormat="1" applyFont="1" applyFill="1" applyBorder="1" applyAlignment="1" applyProtection="1">
      <alignment horizontal="center" vertical="center"/>
    </xf>
    <xf numFmtId="1" fontId="69" fillId="50" borderId="22" xfId="0" applyNumberFormat="1" applyFont="1" applyFill="1" applyBorder="1" applyAlignment="1" applyProtection="1">
      <alignment horizontal="center" vertical="center"/>
      <protection locked="0"/>
    </xf>
    <xf numFmtId="0" fontId="69" fillId="49" borderId="28" xfId="0" applyFont="1" applyFill="1" applyBorder="1" applyAlignment="1">
      <alignment horizontal="center" vertical="center"/>
    </xf>
    <xf numFmtId="0" fontId="69" fillId="51" borderId="0" xfId="0" applyFont="1" applyFill="1" applyBorder="1" applyAlignment="1">
      <alignment horizontal="center" vertical="center"/>
    </xf>
    <xf numFmtId="0" fontId="69" fillId="51" borderId="0" xfId="0" applyFont="1" applyFill="1" applyAlignment="1">
      <alignment horizontal="center" vertical="center"/>
    </xf>
    <xf numFmtId="0" fontId="70" fillId="49" borderId="68" xfId="0" applyFont="1" applyFill="1" applyBorder="1" applyAlignment="1">
      <alignment horizontal="center" vertical="center"/>
    </xf>
    <xf numFmtId="0" fontId="70" fillId="50" borderId="22" xfId="0" applyFont="1" applyFill="1" applyBorder="1" applyAlignment="1" applyProtection="1">
      <alignment horizontal="center" vertical="center"/>
      <protection locked="0"/>
    </xf>
    <xf numFmtId="0" fontId="70" fillId="49" borderId="28" xfId="0" applyFont="1" applyFill="1" applyBorder="1" applyAlignment="1">
      <alignment horizontal="center" vertical="center"/>
    </xf>
    <xf numFmtId="0" fontId="69" fillId="49" borderId="0" xfId="0" applyFont="1" applyFill="1" applyBorder="1" applyAlignment="1">
      <alignment horizontal="center" vertical="center"/>
    </xf>
    <xf numFmtId="4" fontId="69" fillId="50" borderId="0" xfId="0" applyNumberFormat="1" applyFont="1" applyFill="1" applyBorder="1" applyAlignment="1" applyProtection="1">
      <alignment horizontal="center" vertical="center"/>
      <protection locked="0"/>
    </xf>
    <xf numFmtId="1" fontId="69" fillId="49" borderId="0" xfId="0" applyNumberFormat="1" applyFont="1" applyFill="1" applyBorder="1" applyAlignment="1" applyProtection="1">
      <alignment horizontal="center" vertical="center"/>
    </xf>
    <xf numFmtId="0" fontId="69" fillId="49" borderId="33" xfId="0" applyFont="1" applyFill="1" applyBorder="1" applyAlignment="1">
      <alignment horizontal="center" vertical="center"/>
    </xf>
    <xf numFmtId="0" fontId="70" fillId="49" borderId="112" xfId="0" applyFont="1" applyFill="1" applyBorder="1" applyAlignment="1">
      <alignment horizontal="center" vertical="center"/>
    </xf>
    <xf numFmtId="0" fontId="70" fillId="50" borderId="0" xfId="0" applyFont="1" applyFill="1" applyBorder="1" applyAlignment="1" applyProtection="1">
      <alignment horizontal="center" vertical="center"/>
      <protection locked="0"/>
    </xf>
    <xf numFmtId="0" fontId="70" fillId="49" borderId="33" xfId="0" applyFont="1" applyFill="1" applyBorder="1" applyAlignment="1">
      <alignment horizontal="center" vertical="center"/>
    </xf>
    <xf numFmtId="0" fontId="71" fillId="51" borderId="0" xfId="0" applyFont="1" applyFill="1" applyBorder="1" applyAlignment="1">
      <alignment horizontal="center" vertical="center"/>
    </xf>
    <xf numFmtId="0" fontId="69" fillId="49" borderId="112" xfId="0" applyFont="1" applyFill="1" applyBorder="1" applyAlignment="1">
      <alignment horizontal="center" vertical="center"/>
    </xf>
    <xf numFmtId="0" fontId="57" fillId="49" borderId="46" xfId="0" applyFont="1" applyFill="1" applyBorder="1" applyAlignment="1">
      <alignment horizontal="center" vertical="center"/>
    </xf>
    <xf numFmtId="4" fontId="57" fillId="49" borderId="20" xfId="0" applyNumberFormat="1" applyFont="1" applyFill="1" applyBorder="1" applyAlignment="1" applyProtection="1">
      <alignment vertical="center"/>
    </xf>
    <xf numFmtId="0" fontId="57" fillId="49" borderId="20" xfId="0" applyFont="1" applyFill="1" applyBorder="1" applyAlignment="1">
      <alignment horizontal="center" vertical="center"/>
    </xf>
    <xf numFmtId="1" fontId="57" fillId="49" borderId="20" xfId="0" applyNumberFormat="1" applyFont="1" applyFill="1" applyBorder="1" applyAlignment="1" applyProtection="1">
      <alignment vertical="center"/>
    </xf>
    <xf numFmtId="0" fontId="57" fillId="49" borderId="21" xfId="0" applyFont="1" applyFill="1" applyBorder="1" applyAlignment="1">
      <alignment vertical="center"/>
    </xf>
    <xf numFmtId="0" fontId="57" fillId="51" borderId="0" xfId="0" applyFont="1" applyFill="1" applyBorder="1" applyAlignment="1">
      <alignment vertical="center"/>
    </xf>
    <xf numFmtId="0" fontId="70" fillId="49" borderId="78" xfId="0" applyFont="1" applyFill="1" applyBorder="1" applyAlignment="1">
      <alignment horizontal="center" vertical="center"/>
    </xf>
    <xf numFmtId="0" fontId="70" fillId="50" borderId="24" xfId="0" applyFont="1" applyFill="1" applyBorder="1" applyAlignment="1" applyProtection="1">
      <alignment horizontal="center" vertical="center"/>
      <protection locked="0"/>
    </xf>
    <xf numFmtId="0" fontId="70" fillId="49" borderId="27" xfId="0" applyFont="1" applyFill="1" applyBorder="1" applyAlignment="1">
      <alignment horizontal="center" vertical="center"/>
    </xf>
    <xf numFmtId="0" fontId="57" fillId="51" borderId="22" xfId="0" applyFont="1" applyFill="1" applyBorder="1" applyAlignment="1">
      <alignment vertical="center"/>
    </xf>
    <xf numFmtId="4" fontId="57" fillId="51" borderId="22" xfId="0" applyNumberFormat="1" applyFont="1" applyFill="1" applyBorder="1" applyAlignment="1">
      <alignment vertical="center"/>
    </xf>
    <xf numFmtId="1" fontId="57" fillId="51" borderId="22" xfId="0" applyNumberFormat="1" applyFont="1" applyFill="1" applyBorder="1" applyAlignment="1">
      <alignment vertical="center"/>
    </xf>
    <xf numFmtId="0" fontId="70" fillId="49" borderId="46" xfId="0" applyFont="1" applyFill="1" applyBorder="1" applyAlignment="1">
      <alignment horizontal="center" vertical="center"/>
    </xf>
    <xf numFmtId="0" fontId="70" fillId="49" borderId="20" xfId="0" applyFont="1" applyFill="1" applyBorder="1" applyAlignment="1" applyProtection="1">
      <alignment horizontal="center" vertical="center"/>
    </xf>
    <xf numFmtId="0" fontId="70" fillId="49" borderId="21" xfId="0" applyFont="1" applyFill="1" applyBorder="1" applyAlignment="1">
      <alignment horizontal="center" vertical="center"/>
    </xf>
    <xf numFmtId="0" fontId="69" fillId="49" borderId="68" xfId="0" applyFont="1" applyFill="1" applyBorder="1" applyAlignment="1">
      <alignment horizontal="center" vertical="center"/>
    </xf>
    <xf numFmtId="4" fontId="69" fillId="50" borderId="22" xfId="0" applyNumberFormat="1" applyFont="1" applyFill="1" applyBorder="1" applyAlignment="1" applyProtection="1">
      <alignment horizontal="center" vertical="center"/>
      <protection locked="0"/>
    </xf>
    <xf numFmtId="0" fontId="69" fillId="49" borderId="22" xfId="0" applyFont="1" applyFill="1" applyBorder="1" applyAlignment="1" applyProtection="1">
      <alignment horizontal="center" vertical="center"/>
    </xf>
    <xf numFmtId="0" fontId="70" fillId="49" borderId="22" xfId="0" applyFont="1" applyFill="1" applyBorder="1" applyAlignment="1" applyProtection="1">
      <alignment horizontal="center" vertical="center"/>
    </xf>
    <xf numFmtId="0" fontId="70" fillId="49" borderId="22" xfId="0" applyFont="1" applyFill="1" applyBorder="1" applyAlignment="1">
      <alignment horizontal="center" vertical="center"/>
    </xf>
    <xf numFmtId="0" fontId="70" fillId="50" borderId="20" xfId="0" applyFont="1" applyFill="1" applyBorder="1" applyAlignment="1" applyProtection="1">
      <alignment horizontal="center" vertical="center"/>
      <protection locked="0"/>
    </xf>
    <xf numFmtId="0" fontId="69" fillId="49" borderId="0" xfId="0" applyFont="1" applyFill="1" applyBorder="1" applyAlignment="1" applyProtection="1">
      <alignment horizontal="center" vertical="center"/>
    </xf>
    <xf numFmtId="0" fontId="70" fillId="49" borderId="24" xfId="0" applyFont="1" applyFill="1" applyBorder="1" applyAlignment="1" applyProtection="1">
      <alignment horizontal="center" vertical="center"/>
    </xf>
    <xf numFmtId="0" fontId="70" fillId="49" borderId="24" xfId="0" applyFont="1" applyFill="1" applyBorder="1" applyAlignment="1">
      <alignment horizontal="center" vertical="center"/>
    </xf>
    <xf numFmtId="1" fontId="69" fillId="49" borderId="22" xfId="0" applyNumberFormat="1" applyFont="1" applyFill="1" applyBorder="1" applyAlignment="1" applyProtection="1">
      <alignment horizontal="center" vertical="center"/>
    </xf>
    <xf numFmtId="0" fontId="70" fillId="49" borderId="20" xfId="0" applyFont="1" applyFill="1" applyBorder="1" applyAlignment="1">
      <alignment horizontal="center" vertical="center"/>
    </xf>
    <xf numFmtId="4" fontId="69" fillId="49" borderId="0" xfId="0" applyNumberFormat="1" applyFont="1" applyFill="1" applyBorder="1" applyAlignment="1" applyProtection="1">
      <alignment horizontal="center" vertical="center"/>
    </xf>
    <xf numFmtId="0" fontId="69" fillId="49" borderId="78" xfId="0" applyFont="1" applyFill="1" applyBorder="1" applyAlignment="1">
      <alignment horizontal="center" vertical="center"/>
    </xf>
    <xf numFmtId="4" fontId="69" fillId="49" borderId="24" xfId="0" applyNumberFormat="1" applyFont="1" applyFill="1" applyBorder="1" applyAlignment="1" applyProtection="1">
      <alignment horizontal="center" vertical="center"/>
    </xf>
    <xf numFmtId="0" fontId="69" fillId="49" borderId="24" xfId="0" applyFont="1" applyFill="1" applyBorder="1" applyAlignment="1">
      <alignment horizontal="center" vertical="center"/>
    </xf>
    <xf numFmtId="1" fontId="69" fillId="49" borderId="24" xfId="0" applyNumberFormat="1" applyFont="1" applyFill="1" applyBorder="1" applyAlignment="1" applyProtection="1">
      <alignment horizontal="center" vertical="center"/>
    </xf>
    <xf numFmtId="0" fontId="69" fillId="49" borderId="27" xfId="0" applyFont="1" applyFill="1" applyBorder="1" applyAlignment="1">
      <alignment horizontal="center" vertical="center"/>
    </xf>
    <xf numFmtId="4" fontId="57" fillId="49" borderId="20" xfId="0" applyNumberFormat="1" applyFont="1" applyFill="1" applyBorder="1" applyAlignment="1" applyProtection="1">
      <alignment horizontal="center" vertical="center"/>
    </xf>
    <xf numFmtId="1" fontId="57" fillId="49" borderId="20" xfId="0" applyNumberFormat="1" applyFont="1" applyFill="1" applyBorder="1" applyAlignment="1" applyProtection="1">
      <alignment horizontal="center" vertical="center"/>
    </xf>
    <xf numFmtId="0" fontId="57" fillId="49" borderId="21" xfId="0" applyFont="1" applyFill="1" applyBorder="1" applyAlignment="1">
      <alignment horizontal="center" vertical="center"/>
    </xf>
    <xf numFmtId="0" fontId="57" fillId="51" borderId="0" xfId="0" applyFont="1" applyFill="1" applyBorder="1" applyAlignment="1">
      <alignment horizontal="center" vertical="center"/>
    </xf>
    <xf numFmtId="4" fontId="69" fillId="51" borderId="0" xfId="0" applyNumberFormat="1" applyFont="1" applyFill="1" applyAlignment="1">
      <alignment horizontal="center" vertical="center"/>
    </xf>
    <xf numFmtId="4" fontId="70" fillId="50" borderId="20" xfId="0" applyNumberFormat="1" applyFont="1" applyFill="1" applyBorder="1" applyAlignment="1" applyProtection="1">
      <alignment horizontal="center" vertical="center"/>
      <protection locked="0"/>
    </xf>
    <xf numFmtId="4" fontId="70" fillId="49" borderId="20" xfId="0" applyNumberFormat="1" applyFont="1" applyFill="1" applyBorder="1" applyAlignment="1" applyProtection="1">
      <alignment horizontal="center" vertical="center"/>
    </xf>
    <xf numFmtId="0" fontId="69" fillId="0" borderId="0" xfId="0" applyFont="1" applyAlignment="1">
      <alignment horizontal="center" vertical="center"/>
    </xf>
    <xf numFmtId="4" fontId="69" fillId="0" borderId="0" xfId="0" applyNumberFormat="1" applyFont="1" applyAlignment="1">
      <alignment horizontal="center" vertical="center"/>
    </xf>
    <xf numFmtId="0" fontId="70" fillId="51" borderId="22" xfId="0" applyFont="1" applyFill="1" applyBorder="1" applyAlignment="1">
      <alignment vertical="center" textRotation="90"/>
    </xf>
    <xf numFmtId="0" fontId="69" fillId="49" borderId="22" xfId="0" applyFont="1" applyFill="1" applyBorder="1" applyAlignment="1">
      <alignment horizontal="right" vertical="center"/>
    </xf>
    <xf numFmtId="0" fontId="70" fillId="49" borderId="91" xfId="0" applyFont="1" applyFill="1" applyBorder="1" applyAlignment="1">
      <alignment horizontal="center" vertical="center"/>
    </xf>
    <xf numFmtId="0" fontId="69" fillId="49" borderId="0" xfId="0" applyFont="1" applyFill="1" applyBorder="1" applyAlignment="1">
      <alignment horizontal="right" vertical="center"/>
    </xf>
    <xf numFmtId="0" fontId="70" fillId="49" borderId="92" xfId="0" applyFont="1" applyFill="1" applyBorder="1" applyAlignment="1">
      <alignment horizontal="center" vertical="center"/>
    </xf>
    <xf numFmtId="0" fontId="31" fillId="49" borderId="0" xfId="0" applyFont="1" applyFill="1" applyBorder="1" applyAlignment="1">
      <alignment horizontal="right" vertical="center"/>
    </xf>
    <xf numFmtId="4" fontId="31" fillId="50" borderId="0" xfId="0" applyNumberFormat="1" applyFont="1" applyFill="1" applyBorder="1" applyAlignment="1" applyProtection="1">
      <alignment horizontal="center" vertical="center"/>
      <protection locked="0"/>
    </xf>
    <xf numFmtId="0" fontId="31" fillId="49" borderId="0" xfId="0" applyFont="1" applyFill="1" applyBorder="1" applyAlignment="1">
      <alignment horizontal="center" vertical="center"/>
    </xf>
    <xf numFmtId="1" fontId="31" fillId="49" borderId="0" xfId="0" applyNumberFormat="1" applyFont="1" applyFill="1" applyBorder="1" applyAlignment="1" applyProtection="1">
      <alignment horizontal="center" vertical="center"/>
    </xf>
    <xf numFmtId="0" fontId="31" fillId="49" borderId="33" xfId="0" applyFont="1" applyFill="1" applyBorder="1" applyAlignment="1">
      <alignment horizontal="center" vertical="center"/>
    </xf>
    <xf numFmtId="0" fontId="69" fillId="49" borderId="112" xfId="0" applyFont="1" applyFill="1" applyBorder="1" applyAlignment="1">
      <alignment horizontal="right" vertical="center"/>
    </xf>
    <xf numFmtId="0" fontId="70" fillId="49" borderId="93" xfId="0" applyFont="1" applyFill="1" applyBorder="1" applyAlignment="1">
      <alignment horizontal="center" vertical="center"/>
    </xf>
    <xf numFmtId="0" fontId="53" fillId="52" borderId="39" xfId="0" applyFont="1" applyFill="1" applyBorder="1" applyAlignment="1">
      <alignment horizontal="center" vertical="center"/>
    </xf>
    <xf numFmtId="0" fontId="30" fillId="24" borderId="45" xfId="0" applyFont="1" applyFill="1" applyBorder="1" applyAlignment="1">
      <alignment horizontal="center" vertical="center"/>
    </xf>
    <xf numFmtId="166" fontId="31" fillId="25" borderId="17" xfId="0" applyNumberFormat="1" applyFont="1" applyFill="1" applyBorder="1" applyAlignment="1">
      <alignment horizontal="center"/>
    </xf>
    <xf numFmtId="166" fontId="31" fillId="25" borderId="89" xfId="0" applyNumberFormat="1" applyFont="1" applyFill="1" applyBorder="1" applyAlignment="1">
      <alignment horizontal="center"/>
    </xf>
    <xf numFmtId="166" fontId="31" fillId="25" borderId="43" xfId="0" applyNumberFormat="1" applyFont="1" applyFill="1" applyBorder="1" applyAlignment="1">
      <alignment horizontal="center"/>
    </xf>
    <xf numFmtId="166" fontId="31" fillId="25" borderId="90" xfId="0" applyNumberFormat="1" applyFont="1" applyFill="1" applyBorder="1" applyAlignment="1">
      <alignment horizontal="center"/>
    </xf>
    <xf numFmtId="166" fontId="31" fillId="25" borderId="0" xfId="0" applyNumberFormat="1" applyFont="1" applyFill="1" applyBorder="1" applyAlignment="1">
      <alignment horizontal="center"/>
    </xf>
    <xf numFmtId="166" fontId="31" fillId="25" borderId="52" xfId="0" applyNumberFormat="1" applyFont="1" applyFill="1" applyBorder="1" applyAlignment="1">
      <alignment horizontal="center"/>
    </xf>
    <xf numFmtId="166" fontId="31" fillId="25" borderId="73" xfId="0" applyNumberFormat="1" applyFont="1" applyFill="1" applyBorder="1" applyAlignment="1">
      <alignment horizontal="center"/>
    </xf>
    <xf numFmtId="166" fontId="31" fillId="25" borderId="23" xfId="0" applyNumberFormat="1" applyFont="1" applyFill="1" applyBorder="1" applyAlignment="1">
      <alignment horizontal="center"/>
    </xf>
    <xf numFmtId="166" fontId="31" fillId="25" borderId="32" xfId="0" applyNumberFormat="1" applyFont="1" applyFill="1" applyBorder="1" applyAlignment="1">
      <alignment horizontal="center"/>
    </xf>
    <xf numFmtId="166" fontId="31" fillId="25" borderId="51" xfId="0" applyNumberFormat="1" applyFont="1" applyFill="1" applyBorder="1" applyAlignment="1">
      <alignment horizontal="center"/>
    </xf>
    <xf numFmtId="166" fontId="31" fillId="25" borderId="134" xfId="0" applyNumberFormat="1" applyFont="1" applyFill="1" applyBorder="1" applyAlignment="1">
      <alignment horizontal="center"/>
    </xf>
    <xf numFmtId="0" fontId="72" fillId="25" borderId="41" xfId="0" applyFont="1" applyFill="1" applyBorder="1" applyAlignment="1">
      <alignment horizontal="center"/>
    </xf>
    <xf numFmtId="0" fontId="72" fillId="25" borderId="39" xfId="0" applyFont="1" applyFill="1" applyBorder="1" applyAlignment="1">
      <alignment horizontal="center"/>
    </xf>
    <xf numFmtId="0" fontId="72" fillId="25" borderId="71" xfId="0" applyFont="1" applyFill="1" applyBorder="1" applyAlignment="1">
      <alignment horizontal="center"/>
    </xf>
    <xf numFmtId="0" fontId="72" fillId="42" borderId="41" xfId="0" applyFont="1" applyFill="1" applyBorder="1" applyAlignment="1">
      <alignment horizontal="center"/>
    </xf>
    <xf numFmtId="0" fontId="72" fillId="42" borderId="39" xfId="0" applyFont="1" applyFill="1" applyBorder="1" applyAlignment="1">
      <alignment horizontal="center"/>
    </xf>
    <xf numFmtId="0" fontId="72" fillId="42" borderId="71" xfId="0" applyFont="1" applyFill="1" applyBorder="1" applyAlignment="1">
      <alignment horizontal="center"/>
    </xf>
    <xf numFmtId="166" fontId="31" fillId="42" borderId="154" xfId="0" applyNumberFormat="1" applyFont="1" applyFill="1" applyBorder="1" applyAlignment="1">
      <alignment horizontal="center"/>
    </xf>
    <xf numFmtId="166" fontId="31" fillId="42" borderId="155" xfId="0" applyNumberFormat="1" applyFont="1" applyFill="1" applyBorder="1" applyAlignment="1">
      <alignment horizontal="center"/>
    </xf>
    <xf numFmtId="166" fontId="31" fillId="42" borderId="156" xfId="0" applyNumberFormat="1" applyFont="1" applyFill="1" applyBorder="1" applyAlignment="1">
      <alignment horizontal="center"/>
    </xf>
    <xf numFmtId="166" fontId="31" fillId="25" borderId="155" xfId="0" applyNumberFormat="1" applyFont="1" applyFill="1" applyBorder="1" applyAlignment="1">
      <alignment horizontal="center"/>
    </xf>
    <xf numFmtId="166" fontId="31" fillId="25" borderId="156" xfId="0" applyNumberFormat="1" applyFont="1" applyFill="1" applyBorder="1" applyAlignment="1">
      <alignment horizontal="center"/>
    </xf>
    <xf numFmtId="0" fontId="59" fillId="28" borderId="48" xfId="0" applyFont="1" applyFill="1" applyBorder="1" applyAlignment="1">
      <alignment horizontal="left"/>
    </xf>
    <xf numFmtId="166" fontId="31" fillId="25" borderId="154" xfId="0" applyNumberFormat="1" applyFont="1" applyFill="1" applyBorder="1" applyAlignment="1">
      <alignment horizontal="center"/>
    </xf>
    <xf numFmtId="166" fontId="31" fillId="25" borderId="163" xfId="0" applyNumberFormat="1" applyFont="1" applyFill="1" applyBorder="1" applyAlignment="1">
      <alignment horizontal="center"/>
    </xf>
    <xf numFmtId="9" fontId="31" fillId="25" borderId="17" xfId="0" applyNumberFormat="1" applyFont="1" applyFill="1" applyBorder="1" applyAlignment="1">
      <alignment horizontal="center"/>
    </xf>
    <xf numFmtId="4" fontId="37" fillId="25" borderId="0" xfId="0" applyNumberFormat="1" applyFont="1" applyFill="1" applyBorder="1" applyAlignment="1">
      <alignment horizontal="left"/>
    </xf>
    <xf numFmtId="166" fontId="31" fillId="25" borderId="57" xfId="0" applyNumberFormat="1" applyFont="1" applyFill="1" applyBorder="1" applyAlignment="1">
      <alignment horizontal="center"/>
    </xf>
    <xf numFmtId="166" fontId="31" fillId="25" borderId="44" xfId="0" applyNumberFormat="1" applyFont="1" applyFill="1" applyBorder="1" applyAlignment="1">
      <alignment horizontal="center"/>
    </xf>
    <xf numFmtId="166" fontId="31" fillId="44" borderId="23" xfId="0" applyNumberFormat="1" applyFont="1" applyFill="1" applyBorder="1" applyAlignment="1">
      <alignment horizontal="center"/>
    </xf>
    <xf numFmtId="166" fontId="31" fillId="44" borderId="0" xfId="0" applyNumberFormat="1" applyFont="1" applyFill="1" applyBorder="1" applyAlignment="1">
      <alignment horizontal="center"/>
    </xf>
    <xf numFmtId="166" fontId="31" fillId="44" borderId="17" xfId="0" applyNumberFormat="1" applyFont="1" applyFill="1" applyBorder="1" applyAlignment="1">
      <alignment horizontal="center"/>
    </xf>
    <xf numFmtId="166" fontId="31" fillId="44" borderId="32" xfId="0" applyNumberFormat="1" applyFont="1" applyFill="1" applyBorder="1" applyAlignment="1">
      <alignment horizontal="center"/>
    </xf>
    <xf numFmtId="0" fontId="30" fillId="25" borderId="45" xfId="0" applyFont="1" applyFill="1" applyBorder="1" applyAlignment="1">
      <alignment horizontal="center"/>
    </xf>
    <xf numFmtId="0" fontId="59" fillId="28" borderId="20" xfId="0" applyFont="1" applyFill="1" applyBorder="1" applyAlignment="1">
      <alignment horizontal="left"/>
    </xf>
    <xf numFmtId="4" fontId="37" fillId="42" borderId="106" xfId="0" applyNumberFormat="1" applyFont="1" applyFill="1" applyBorder="1" applyAlignment="1">
      <alignment horizontal="center" wrapText="1"/>
    </xf>
    <xf numFmtId="4" fontId="37" fillId="42" borderId="106" xfId="0" applyNumberFormat="1" applyFont="1" applyFill="1" applyBorder="1" applyAlignment="1">
      <alignment horizontal="center"/>
    </xf>
    <xf numFmtId="4" fontId="37" fillId="42" borderId="108" xfId="0" applyNumberFormat="1" applyFont="1" applyFill="1" applyBorder="1" applyAlignment="1">
      <alignment horizontal="right"/>
    </xf>
    <xf numFmtId="164" fontId="31" fillId="32" borderId="0" xfId="0" applyNumberFormat="1" applyFont="1" applyFill="1" applyBorder="1"/>
    <xf numFmtId="164" fontId="66" fillId="32" borderId="0" xfId="0" applyNumberFormat="1" applyFont="1" applyFill="1" applyBorder="1"/>
    <xf numFmtId="164" fontId="31" fillId="25" borderId="24" xfId="0" applyNumberFormat="1" applyFont="1" applyFill="1" applyBorder="1"/>
    <xf numFmtId="164" fontId="31" fillId="25" borderId="118" xfId="0" applyNumberFormat="1" applyFont="1" applyFill="1" applyBorder="1"/>
    <xf numFmtId="164" fontId="31" fillId="25" borderId="120" xfId="0" applyNumberFormat="1" applyFont="1" applyFill="1" applyBorder="1"/>
    <xf numFmtId="164" fontId="31" fillId="25" borderId="0" xfId="0" applyNumberFormat="1" applyFont="1" applyFill="1" applyBorder="1" applyAlignment="1">
      <alignment horizontal="right"/>
    </xf>
    <xf numFmtId="164" fontId="31" fillId="25" borderId="0" xfId="0" quotePrefix="1" applyNumberFormat="1" applyFont="1" applyFill="1" applyBorder="1" applyAlignment="1">
      <alignment horizontal="right"/>
    </xf>
    <xf numFmtId="9" fontId="30" fillId="25" borderId="17" xfId="0" applyNumberFormat="1" applyFont="1" applyFill="1" applyBorder="1" applyAlignment="1">
      <alignment horizontal="center"/>
    </xf>
    <xf numFmtId="164" fontId="30" fillId="25" borderId="0" xfId="0" applyNumberFormat="1" applyFont="1" applyFill="1" applyBorder="1"/>
    <xf numFmtId="174" fontId="31" fillId="25" borderId="0" xfId="0" applyNumberFormat="1" applyFont="1" applyFill="1" applyBorder="1"/>
    <xf numFmtId="172" fontId="31" fillId="32" borderId="54" xfId="0" applyNumberFormat="1" applyFont="1" applyFill="1" applyBorder="1" applyAlignment="1" applyProtection="1">
      <alignment horizontal="right"/>
      <protection hidden="1"/>
    </xf>
    <xf numFmtId="4" fontId="31" fillId="24" borderId="30" xfId="0" applyNumberFormat="1" applyFont="1" applyFill="1" applyBorder="1" applyAlignment="1">
      <alignment horizontal="center" wrapText="1"/>
    </xf>
    <xf numFmtId="0" fontId="31" fillId="32" borderId="41" xfId="0" applyFont="1" applyFill="1" applyBorder="1" applyAlignment="1">
      <alignment horizontal="center" wrapText="1"/>
    </xf>
    <xf numFmtId="0" fontId="31" fillId="32" borderId="53" xfId="0" applyFont="1" applyFill="1" applyBorder="1" applyAlignment="1">
      <alignment horizontal="center" wrapText="1"/>
    </xf>
    <xf numFmtId="4" fontId="31" fillId="33" borderId="55" xfId="0" applyNumberFormat="1" applyFont="1" applyFill="1" applyBorder="1" applyAlignment="1">
      <alignment horizontal="center" wrapText="1"/>
    </xf>
    <xf numFmtId="4" fontId="31" fillId="25" borderId="0" xfId="0" applyNumberFormat="1" applyFont="1" applyFill="1" applyBorder="1" applyAlignment="1">
      <alignment horizontal="center" wrapText="1"/>
    </xf>
    <xf numFmtId="9" fontId="31" fillId="25" borderId="0" xfId="0" applyNumberFormat="1" applyFont="1" applyFill="1" applyBorder="1" applyAlignment="1">
      <alignment horizontal="center" vertical="center"/>
    </xf>
    <xf numFmtId="1" fontId="31" fillId="25" borderId="0" xfId="0" applyNumberFormat="1" applyFont="1" applyFill="1" applyBorder="1" applyAlignment="1">
      <alignment horizontal="center" vertical="center"/>
    </xf>
    <xf numFmtId="164" fontId="31" fillId="44" borderId="22" xfId="0" applyNumberFormat="1" applyFont="1" applyFill="1" applyBorder="1" applyAlignment="1">
      <alignment horizontal="right"/>
    </xf>
    <xf numFmtId="164" fontId="31" fillId="44" borderId="0" xfId="0" applyNumberFormat="1" applyFont="1" applyFill="1" applyBorder="1" applyAlignment="1">
      <alignment horizontal="right"/>
    </xf>
    <xf numFmtId="164" fontId="31" fillId="44" borderId="24" xfId="0" applyNumberFormat="1" applyFont="1" applyFill="1" applyBorder="1" applyAlignment="1">
      <alignment horizontal="right"/>
    </xf>
    <xf numFmtId="164" fontId="53" fillId="28" borderId="48" xfId="0" applyNumberFormat="1" applyFont="1" applyFill="1" applyBorder="1" applyAlignment="1">
      <alignment horizontal="right"/>
    </xf>
    <xf numFmtId="0" fontId="37" fillId="25" borderId="0" xfId="0" applyFont="1" applyFill="1"/>
    <xf numFmtId="0" fontId="37" fillId="25" borderId="22" xfId="0" applyFont="1" applyFill="1" applyBorder="1"/>
    <xf numFmtId="4" fontId="37" fillId="42" borderId="65" xfId="0" applyNumberFormat="1" applyFont="1" applyFill="1" applyBorder="1" applyAlignment="1">
      <alignment horizontal="center" wrapText="1"/>
    </xf>
    <xf numFmtId="4" fontId="37" fillId="42" borderId="65" xfId="0" applyNumberFormat="1" applyFont="1" applyFill="1" applyBorder="1" applyAlignment="1">
      <alignment horizontal="center"/>
    </xf>
    <xf numFmtId="4" fontId="37" fillId="42" borderId="65" xfId="0" applyNumberFormat="1" applyFont="1" applyFill="1" applyBorder="1" applyAlignment="1">
      <alignment horizontal="right"/>
    </xf>
    <xf numFmtId="4" fontId="37" fillId="42" borderId="107" xfId="0" applyNumberFormat="1" applyFont="1" applyFill="1" applyBorder="1" applyAlignment="1">
      <alignment horizontal="right"/>
    </xf>
    <xf numFmtId="0" fontId="37" fillId="25" borderId="0" xfId="0" applyFont="1" applyFill="1" applyBorder="1" applyAlignment="1">
      <alignment horizontal="center"/>
    </xf>
    <xf numFmtId="4" fontId="37" fillId="42" borderId="58" xfId="0" applyNumberFormat="1" applyFont="1" applyFill="1" applyBorder="1" applyAlignment="1">
      <alignment horizontal="center"/>
    </xf>
    <xf numFmtId="4" fontId="37" fillId="25" borderId="94" xfId="0" applyNumberFormat="1" applyFont="1" applyFill="1" applyBorder="1" applyAlignment="1">
      <alignment horizontal="center"/>
    </xf>
    <xf numFmtId="4" fontId="37" fillId="42" borderId="59" xfId="0" applyNumberFormat="1" applyFont="1" applyFill="1" applyBorder="1" applyAlignment="1">
      <alignment horizontal="center"/>
    </xf>
    <xf numFmtId="0" fontId="37" fillId="25" borderId="24" xfId="0" applyFont="1" applyFill="1" applyBorder="1"/>
    <xf numFmtId="4" fontId="37" fillId="42" borderId="133" xfId="0" applyNumberFormat="1" applyFont="1" applyFill="1" applyBorder="1" applyAlignment="1">
      <alignment horizontal="center"/>
    </xf>
    <xf numFmtId="4" fontId="37" fillId="42" borderId="137" xfId="0" applyNumberFormat="1" applyFont="1" applyFill="1" applyBorder="1" applyAlignment="1">
      <alignment horizontal="center"/>
    </xf>
    <xf numFmtId="4" fontId="37" fillId="42" borderId="138" xfId="0" applyNumberFormat="1" applyFont="1" applyFill="1" applyBorder="1" applyAlignment="1">
      <alignment horizontal="center"/>
    </xf>
    <xf numFmtId="4" fontId="37" fillId="32" borderId="59" xfId="0" applyNumberFormat="1" applyFont="1" applyFill="1" applyBorder="1" applyAlignment="1">
      <alignment horizontal="center"/>
    </xf>
    <xf numFmtId="4" fontId="37" fillId="25" borderId="59" xfId="0" applyNumberFormat="1" applyFont="1" applyFill="1" applyBorder="1" applyAlignment="1">
      <alignment horizontal="center"/>
    </xf>
    <xf numFmtId="4" fontId="37" fillId="25" borderId="0" xfId="0" applyNumberFormat="1" applyFont="1" applyFill="1" applyBorder="1" applyAlignment="1">
      <alignment horizontal="center"/>
    </xf>
    <xf numFmtId="0" fontId="37" fillId="25" borderId="17" xfId="0" applyFont="1" applyFill="1" applyBorder="1"/>
    <xf numFmtId="0" fontId="73" fillId="25" borderId="0" xfId="0" applyFont="1" applyFill="1" applyBorder="1"/>
    <xf numFmtId="0" fontId="37" fillId="25" borderId="39" xfId="0" applyFont="1" applyFill="1" applyBorder="1" applyAlignment="1">
      <alignment wrapText="1"/>
    </xf>
    <xf numFmtId="0" fontId="37" fillId="25" borderId="39" xfId="0" applyFont="1" applyFill="1" applyBorder="1" applyAlignment="1">
      <alignment horizontal="left" wrapText="1"/>
    </xf>
    <xf numFmtId="9" fontId="37" fillId="25" borderId="39" xfId="0" applyNumberFormat="1" applyFont="1" applyFill="1" applyBorder="1" applyAlignment="1">
      <alignment horizontal="center" vertical="center"/>
    </xf>
    <xf numFmtId="0" fontId="37" fillId="44" borderId="22" xfId="0" applyFont="1" applyFill="1" applyBorder="1"/>
    <xf numFmtId="0" fontId="37" fillId="44" borderId="0" xfId="0" applyFont="1" applyFill="1" applyBorder="1"/>
    <xf numFmtId="0" fontId="37" fillId="44" borderId="24" xfId="0" applyFont="1" applyFill="1" applyBorder="1"/>
    <xf numFmtId="0" fontId="37" fillId="25" borderId="20" xfId="0" applyFont="1" applyFill="1" applyBorder="1"/>
    <xf numFmtId="4" fontId="37" fillId="25" borderId="58" xfId="0" applyNumberFormat="1" applyFont="1" applyFill="1" applyBorder="1"/>
    <xf numFmtId="0" fontId="37" fillId="25" borderId="58" xfId="0" applyFont="1" applyFill="1" applyBorder="1"/>
    <xf numFmtId="0" fontId="31" fillId="25" borderId="39" xfId="0" applyFont="1" applyFill="1" applyBorder="1" applyAlignment="1">
      <alignment horizontal="left" wrapText="1"/>
    </xf>
    <xf numFmtId="171" fontId="37" fillId="25" borderId="39" xfId="0" applyNumberFormat="1" applyFont="1" applyFill="1" applyBorder="1" applyAlignment="1">
      <alignment horizontal="center" vertical="center"/>
    </xf>
    <xf numFmtId="171" fontId="37" fillId="25" borderId="0" xfId="0" applyNumberFormat="1" applyFont="1" applyFill="1" applyBorder="1" applyAlignment="1">
      <alignment horizontal="center" vertical="center"/>
    </xf>
    <xf numFmtId="166" fontId="31" fillId="25" borderId="39" xfId="0" applyNumberFormat="1" applyFont="1" applyFill="1" applyBorder="1" applyAlignment="1">
      <alignment horizontal="center"/>
    </xf>
    <xf numFmtId="0" fontId="0" fillId="25" borderId="0" xfId="0" applyFont="1" applyFill="1"/>
    <xf numFmtId="174" fontId="31" fillId="25" borderId="0" xfId="0" applyNumberFormat="1" applyFont="1" applyFill="1" applyAlignment="1">
      <alignment horizontal="center"/>
    </xf>
    <xf numFmtId="0" fontId="52" fillId="28" borderId="47" xfId="0" applyFont="1" applyFill="1" applyBorder="1" applyAlignment="1">
      <alignment horizontal="center"/>
    </xf>
    <xf numFmtId="0" fontId="52" fillId="28" borderId="48" xfId="0" applyFont="1" applyFill="1" applyBorder="1" applyAlignment="1">
      <alignment horizontal="center"/>
    </xf>
    <xf numFmtId="0" fontId="52" fillId="28" borderId="167" xfId="0" applyFont="1" applyFill="1" applyBorder="1" applyAlignment="1">
      <alignment horizontal="center"/>
    </xf>
    <xf numFmtId="172" fontId="57" fillId="25" borderId="46" xfId="0" applyNumberFormat="1" applyFont="1" applyFill="1" applyBorder="1" applyAlignment="1">
      <alignment horizontal="center"/>
    </xf>
    <xf numFmtId="172" fontId="57" fillId="25" borderId="21" xfId="0" applyNumberFormat="1" applyFont="1" applyFill="1" applyBorder="1" applyAlignment="1">
      <alignment horizontal="center"/>
    </xf>
    <xf numFmtId="0" fontId="31" fillId="34" borderId="43" xfId="0" applyFont="1" applyFill="1" applyBorder="1" applyAlignment="1">
      <alignment horizontal="center"/>
    </xf>
    <xf numFmtId="0" fontId="31" fillId="34" borderId="17" xfId="0" applyFont="1" applyFill="1" applyBorder="1" applyAlignment="1">
      <alignment horizontal="center"/>
    </xf>
    <xf numFmtId="0" fontId="31" fillId="34" borderId="90" xfId="0" applyFont="1" applyFill="1" applyBorder="1" applyAlignment="1">
      <alignment horizontal="center"/>
    </xf>
    <xf numFmtId="0" fontId="31" fillId="34" borderId="32" xfId="0" applyFont="1" applyFill="1" applyBorder="1" applyAlignment="1">
      <alignment horizontal="center"/>
    </xf>
    <xf numFmtId="0" fontId="31" fillId="25" borderId="46" xfId="0" applyFont="1" applyFill="1" applyBorder="1" applyAlignment="1">
      <alignment horizontal="center"/>
    </xf>
    <xf numFmtId="0" fontId="31" fillId="25" borderId="21" xfId="0" applyFont="1" applyFill="1" applyBorder="1" applyAlignment="1">
      <alignment horizontal="center"/>
    </xf>
    <xf numFmtId="164" fontId="52" fillId="31" borderId="168" xfId="0" applyNumberFormat="1" applyFont="1" applyFill="1" applyBorder="1"/>
    <xf numFmtId="164" fontId="52" fillId="31" borderId="169" xfId="0" applyNumberFormat="1" applyFont="1" applyFill="1" applyBorder="1"/>
    <xf numFmtId="0" fontId="34" fillId="25" borderId="0" xfId="0" applyFont="1" applyFill="1" applyBorder="1" applyAlignment="1">
      <alignment horizontal="left"/>
    </xf>
    <xf numFmtId="0" fontId="30" fillId="47" borderId="46" xfId="0" applyFont="1" applyFill="1" applyBorder="1" applyAlignment="1">
      <alignment horizontal="right"/>
    </xf>
    <xf numFmtId="0" fontId="30" fillId="47" borderId="20" xfId="0" applyFont="1" applyFill="1" applyBorder="1" applyAlignment="1">
      <alignment horizontal="right"/>
    </xf>
    <xf numFmtId="0" fontId="30" fillId="47" borderId="21" xfId="0" applyFont="1" applyFill="1" applyBorder="1" applyAlignment="1">
      <alignment horizontal="right"/>
    </xf>
    <xf numFmtId="0" fontId="31" fillId="34" borderId="68" xfId="0" applyFont="1" applyFill="1" applyBorder="1" applyAlignment="1">
      <alignment horizontal="center" vertical="center"/>
    </xf>
    <xf numFmtId="0" fontId="31" fillId="34" borderId="28" xfId="0" applyFont="1" applyFill="1" applyBorder="1" applyAlignment="1">
      <alignment horizontal="center" vertical="center"/>
    </xf>
    <xf numFmtId="0" fontId="31" fillId="34" borderId="112" xfId="0" applyFont="1" applyFill="1" applyBorder="1" applyAlignment="1">
      <alignment horizontal="center" vertical="center"/>
    </xf>
    <xf numFmtId="0" fontId="31" fillId="34" borderId="33" xfId="0" applyFont="1" applyFill="1" applyBorder="1" applyAlignment="1">
      <alignment horizontal="center" vertical="center"/>
    </xf>
    <xf numFmtId="0" fontId="31" fillId="34" borderId="78" xfId="0" applyFont="1" applyFill="1" applyBorder="1" applyAlignment="1">
      <alignment horizontal="center" vertical="center"/>
    </xf>
    <xf numFmtId="0" fontId="31" fillId="34" borderId="27" xfId="0" applyFont="1" applyFill="1" applyBorder="1" applyAlignment="1">
      <alignment horizontal="center" vertical="center"/>
    </xf>
    <xf numFmtId="0" fontId="31" fillId="34" borderId="89" xfId="0" applyFont="1" applyFill="1" applyBorder="1" applyAlignment="1">
      <alignment horizontal="center"/>
    </xf>
    <xf numFmtId="0" fontId="31" fillId="34" borderId="23" xfId="0" applyFont="1" applyFill="1" applyBorder="1" applyAlignment="1">
      <alignment horizontal="center"/>
    </xf>
    <xf numFmtId="0" fontId="52" fillId="28" borderId="47" xfId="0" applyFont="1" applyFill="1" applyBorder="1" applyAlignment="1">
      <alignment horizontal="left"/>
    </xf>
    <xf numFmtId="0" fontId="52" fillId="28" borderId="48" xfId="0" applyFont="1" applyFill="1" applyBorder="1" applyAlignment="1">
      <alignment horizontal="left"/>
    </xf>
    <xf numFmtId="0" fontId="66" fillId="44" borderId="104" xfId="0" applyFont="1" applyFill="1" applyBorder="1" applyAlignment="1">
      <alignment horizontal="center" textRotation="90"/>
    </xf>
    <xf numFmtId="0" fontId="66" fillId="44" borderId="105" xfId="0" applyFont="1" applyFill="1" applyBorder="1" applyAlignment="1">
      <alignment horizontal="center" textRotation="90"/>
    </xf>
    <xf numFmtId="0" fontId="66" fillId="44" borderId="63" xfId="0" applyFont="1" applyFill="1" applyBorder="1" applyAlignment="1">
      <alignment horizontal="center" textRotation="90"/>
    </xf>
    <xf numFmtId="0" fontId="52" fillId="28" borderId="170" xfId="0" applyFont="1" applyFill="1" applyBorder="1" applyAlignment="1">
      <alignment horizontal="left"/>
    </xf>
    <xf numFmtId="4" fontId="30" fillId="25" borderId="14" xfId="0" applyNumberFormat="1" applyFont="1" applyFill="1" applyBorder="1" applyAlignment="1">
      <alignment horizontal="center"/>
    </xf>
    <xf numFmtId="4" fontId="30" fillId="25" borderId="0" xfId="0" applyNumberFormat="1" applyFont="1" applyFill="1" applyBorder="1" applyAlignment="1">
      <alignment horizontal="center"/>
    </xf>
    <xf numFmtId="0" fontId="33" fillId="26" borderId="42" xfId="0" applyFont="1" applyFill="1" applyBorder="1" applyAlignment="1">
      <alignment horizontal="center" vertical="center" textRotation="90"/>
    </xf>
    <xf numFmtId="0" fontId="33" fillId="26" borderId="53" xfId="0" applyFont="1" applyFill="1" applyBorder="1" applyAlignment="1">
      <alignment horizontal="center" vertical="center" textRotation="90"/>
    </xf>
    <xf numFmtId="0" fontId="33" fillId="26" borderId="150" xfId="0" applyFont="1" applyFill="1" applyBorder="1" applyAlignment="1">
      <alignment horizontal="center" vertical="center" textRotation="90"/>
    </xf>
    <xf numFmtId="0" fontId="48" fillId="26" borderId="171" xfId="0" applyFont="1" applyFill="1" applyBorder="1" applyAlignment="1" applyProtection="1">
      <alignment horizontal="left"/>
    </xf>
    <xf numFmtId="0" fontId="48" fillId="26" borderId="20" xfId="0" applyFont="1" applyFill="1" applyBorder="1" applyAlignment="1" applyProtection="1">
      <alignment horizontal="left"/>
    </xf>
    <xf numFmtId="0" fontId="0" fillId="25" borderId="20" xfId="0" applyFill="1" applyBorder="1" applyAlignment="1">
      <alignment horizontal="center"/>
    </xf>
    <xf numFmtId="0" fontId="0" fillId="25" borderId="21" xfId="0" applyFill="1" applyBorder="1" applyAlignment="1">
      <alignment horizontal="center"/>
    </xf>
    <xf numFmtId="167" fontId="57" fillId="32" borderId="20" xfId="0" applyNumberFormat="1" applyFont="1" applyFill="1" applyBorder="1" applyAlignment="1">
      <alignment horizontal="center"/>
    </xf>
    <xf numFmtId="167" fontId="57" fillId="32" borderId="21" xfId="0" applyNumberFormat="1" applyFont="1" applyFill="1" applyBorder="1" applyAlignment="1">
      <alignment horizontal="center"/>
    </xf>
    <xf numFmtId="4" fontId="30" fillId="32" borderId="14" xfId="0" applyNumberFormat="1" applyFont="1" applyFill="1" applyBorder="1" applyAlignment="1">
      <alignment horizontal="center"/>
    </xf>
    <xf numFmtId="4" fontId="30" fillId="32" borderId="0" xfId="0" applyNumberFormat="1" applyFont="1" applyFill="1" applyBorder="1" applyAlignment="1">
      <alignment horizontal="center"/>
    </xf>
    <xf numFmtId="0" fontId="48" fillId="26" borderId="172" xfId="0" applyFont="1" applyFill="1" applyBorder="1" applyAlignment="1" applyProtection="1">
      <alignment horizontal="left"/>
    </xf>
    <xf numFmtId="0" fontId="48" fillId="26" borderId="173" xfId="0" applyFont="1" applyFill="1" applyBorder="1" applyAlignment="1" applyProtection="1">
      <alignment horizontal="left"/>
    </xf>
    <xf numFmtId="0" fontId="48" fillId="26" borderId="22" xfId="0" applyFont="1" applyFill="1" applyBorder="1" applyAlignment="1" applyProtection="1">
      <alignment horizontal="left"/>
    </xf>
    <xf numFmtId="0" fontId="48" fillId="26" borderId="70" xfId="0" applyFont="1" applyFill="1" applyBorder="1" applyAlignment="1" applyProtection="1">
      <alignment horizontal="left"/>
    </xf>
    <xf numFmtId="0" fontId="67" fillId="48" borderId="14" xfId="0" applyFont="1" applyFill="1" applyBorder="1" applyAlignment="1">
      <alignment horizontal="center" vertical="center" wrapText="1"/>
    </xf>
    <xf numFmtId="0" fontId="67" fillId="48" borderId="0" xfId="0" applyFont="1" applyFill="1" applyBorder="1" applyAlignment="1">
      <alignment horizontal="center" vertical="center" wrapText="1"/>
    </xf>
    <xf numFmtId="0" fontId="30" fillId="24" borderId="174" xfId="0" applyFont="1" applyFill="1" applyBorder="1" applyAlignment="1">
      <alignment horizontal="center"/>
    </xf>
    <xf numFmtId="0" fontId="30" fillId="24" borderId="175" xfId="0" applyFont="1" applyFill="1" applyBorder="1" applyAlignment="1">
      <alignment horizontal="center"/>
    </xf>
    <xf numFmtId="0" fontId="31" fillId="24" borderId="176" xfId="0" applyFont="1" applyFill="1" applyBorder="1" applyAlignment="1">
      <alignment horizontal="center"/>
    </xf>
    <xf numFmtId="0" fontId="31" fillId="24" borderId="177" xfId="0" applyFont="1" applyFill="1" applyBorder="1" applyAlignment="1">
      <alignment horizontal="center"/>
    </xf>
    <xf numFmtId="0" fontId="49" fillId="26" borderId="178" xfId="0" applyFont="1" applyFill="1" applyBorder="1" applyAlignment="1" applyProtection="1">
      <alignment horizontal="center"/>
    </xf>
    <xf numFmtId="0" fontId="49" fillId="26" borderId="179" xfId="0" applyFont="1" applyFill="1" applyBorder="1" applyAlignment="1" applyProtection="1">
      <alignment horizontal="center"/>
    </xf>
    <xf numFmtId="4" fontId="68" fillId="32" borderId="68" xfId="0" applyNumberFormat="1" applyFont="1" applyFill="1" applyBorder="1" applyAlignment="1">
      <alignment horizontal="center" vertical="center" wrapText="1"/>
    </xf>
    <xf numFmtId="4" fontId="68" fillId="32" borderId="28" xfId="0" applyNumberFormat="1" applyFont="1" applyFill="1" applyBorder="1" applyAlignment="1">
      <alignment horizontal="center" vertical="center" wrapText="1"/>
    </xf>
    <xf numFmtId="0" fontId="33" fillId="26" borderId="180" xfId="0" applyFont="1" applyFill="1" applyBorder="1" applyAlignment="1">
      <alignment horizontal="center" vertical="center" textRotation="90"/>
    </xf>
    <xf numFmtId="0" fontId="33" fillId="26" borderId="181" xfId="0" applyFont="1" applyFill="1" applyBorder="1" applyAlignment="1">
      <alignment horizontal="center" vertical="center" textRotation="90"/>
    </xf>
    <xf numFmtId="0" fontId="33" fillId="26" borderId="182" xfId="0" applyFont="1" applyFill="1" applyBorder="1" applyAlignment="1">
      <alignment horizontal="center" vertical="center" textRotation="90"/>
    </xf>
    <xf numFmtId="0" fontId="49" fillId="26" borderId="0" xfId="0" applyFont="1" applyFill="1" applyBorder="1" applyAlignment="1" applyProtection="1">
      <alignment horizontal="center"/>
    </xf>
    <xf numFmtId="0" fontId="49" fillId="26" borderId="19" xfId="0" applyFont="1" applyFill="1" applyBorder="1" applyAlignment="1" applyProtection="1">
      <alignment horizontal="center"/>
    </xf>
    <xf numFmtId="0" fontId="30" fillId="26" borderId="183" xfId="0" applyFont="1" applyFill="1" applyBorder="1" applyAlignment="1">
      <alignment horizontal="center" vertical="center" wrapText="1"/>
    </xf>
    <xf numFmtId="0" fontId="30" fillId="26" borderId="184" xfId="0" applyFont="1" applyFill="1" applyBorder="1" applyAlignment="1">
      <alignment horizontal="center" vertical="center" wrapText="1"/>
    </xf>
    <xf numFmtId="0" fontId="30" fillId="26" borderId="185" xfId="0" applyFont="1" applyFill="1" applyBorder="1" applyAlignment="1">
      <alignment horizontal="center" vertical="center" wrapText="1"/>
    </xf>
    <xf numFmtId="0" fontId="33" fillId="26" borderId="186" xfId="0" applyFont="1" applyFill="1" applyBorder="1" applyAlignment="1">
      <alignment horizontal="center" vertical="center" textRotation="90"/>
    </xf>
    <xf numFmtId="0" fontId="33" fillId="26" borderId="187" xfId="0" applyFont="1" applyFill="1" applyBorder="1" applyAlignment="1">
      <alignment horizontal="center" vertical="center" textRotation="90"/>
    </xf>
    <xf numFmtId="0" fontId="33" fillId="26" borderId="188" xfId="0" applyFont="1" applyFill="1" applyBorder="1" applyAlignment="1">
      <alignment horizontal="center" vertical="center" textRotation="90"/>
    </xf>
    <xf numFmtId="0" fontId="48" fillId="26" borderId="14" xfId="0" applyFont="1" applyFill="1" applyBorder="1" applyAlignment="1" applyProtection="1">
      <alignment horizontal="left"/>
    </xf>
    <xf numFmtId="0" fontId="48" fillId="26" borderId="0" xfId="0" applyFont="1" applyFill="1" applyBorder="1" applyAlignment="1" applyProtection="1">
      <alignment horizontal="left"/>
    </xf>
    <xf numFmtId="0" fontId="48" fillId="26" borderId="15" xfId="0" applyFont="1" applyFill="1" applyBorder="1" applyAlignment="1" applyProtection="1">
      <alignment horizontal="left"/>
    </xf>
    <xf numFmtId="0" fontId="48" fillId="26" borderId="173" xfId="0" applyFont="1" applyFill="1" applyBorder="1" applyAlignment="1" applyProtection="1">
      <alignment horizontal="center" wrapText="1"/>
    </xf>
    <xf numFmtId="0" fontId="48" fillId="26" borderId="22" xfId="0" applyFont="1" applyFill="1" applyBorder="1" applyAlignment="1" applyProtection="1">
      <alignment horizontal="center" wrapText="1"/>
    </xf>
    <xf numFmtId="0" fontId="48" fillId="26" borderId="70" xfId="0" applyFont="1" applyFill="1" applyBorder="1" applyAlignment="1" applyProtection="1">
      <alignment horizontal="center" wrapText="1"/>
    </xf>
    <xf numFmtId="0" fontId="70" fillId="49" borderId="104" xfId="0" applyFont="1" applyFill="1" applyBorder="1" applyAlignment="1">
      <alignment horizontal="center" vertical="center" textRotation="90"/>
    </xf>
    <xf numFmtId="0" fontId="70" fillId="49" borderId="105" xfId="0" applyFont="1" applyFill="1" applyBorder="1" applyAlignment="1">
      <alignment horizontal="center" vertical="center" textRotation="90"/>
    </xf>
    <xf numFmtId="0" fontId="70" fillId="49" borderId="63" xfId="0" applyFont="1" applyFill="1" applyBorder="1" applyAlignment="1">
      <alignment horizontal="center" vertical="center" textRotation="90"/>
    </xf>
    <xf numFmtId="0" fontId="70" fillId="51" borderId="104" xfId="0" applyFont="1" applyFill="1" applyBorder="1" applyAlignment="1">
      <alignment horizontal="center" vertical="center" textRotation="90"/>
    </xf>
    <xf numFmtId="0" fontId="70" fillId="51" borderId="105" xfId="0" applyFont="1" applyFill="1" applyBorder="1" applyAlignment="1">
      <alignment horizontal="center" vertical="center" textRotation="90"/>
    </xf>
    <xf numFmtId="0" fontId="70" fillId="51" borderId="63" xfId="0" applyFont="1" applyFill="1" applyBorder="1" applyAlignment="1">
      <alignment horizontal="center" vertical="center" textRotation="90"/>
    </xf>
    <xf numFmtId="171" fontId="70" fillId="50" borderId="0" xfId="32" applyNumberFormat="1" applyFont="1" applyFill="1" applyBorder="1" applyAlignment="1" applyProtection="1">
      <alignment horizontal="center" vertical="center"/>
      <protection locked="0"/>
    </xf>
    <xf numFmtId="171" fontId="70" fillId="50" borderId="33" xfId="32" applyNumberFormat="1" applyFont="1" applyFill="1" applyBorder="1" applyAlignment="1" applyProtection="1">
      <alignment horizontal="center" vertical="center"/>
      <protection locked="0"/>
    </xf>
    <xf numFmtId="0" fontId="76" fillId="25" borderId="0" xfId="43" applyFont="1" applyFill="1" applyAlignment="1" applyProtection="1">
      <alignment horizontal="center" vertical="center"/>
    </xf>
    <xf numFmtId="0" fontId="31" fillId="53" borderId="0" xfId="0" applyFont="1" applyFill="1" applyAlignment="1">
      <alignment horizont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Lien hypertexte" xfId="43" builtinId="8"/>
    <cellStyle name="Neutre" xfId="31" builtinId="28" customBuiltin="1"/>
    <cellStyle name="Normal" xfId="0" builtinId="0"/>
    <cellStyle name="Pourcentage" xfId="32" builtinId="5"/>
    <cellStyle name="Satisfaisant" xfId="33" builtinId="26" customBuiltin="1"/>
    <cellStyle name="Sortie" xfId="34" builtinId="21" customBuiltin="1"/>
    <cellStyle name="Texte explicatif" xfId="35" builtinId="53" customBuiltin="1"/>
    <cellStyle name="Titre 1" xfId="36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('CHIFFRAGE 2015'!$H$20,'CHIFFRAGE 2015'!$H$43,'CHIFFRAGE 2015'!$H$54,'CHIFFRAGE 2015'!$H$65,'CHIFFRAGE 2015'!$H$117,'CHIFFRAGE 2015'!$H$140,'CHIFFRAGE 2015'!$H$159,'CHIFFRAGE 2015'!$H$174,'CHIFFRAGE 2015'!$H$186,'CHIFFRAGE 2015'!$H$228,'CHIFFRAGE 2015'!$H$247,'CHIFFRAGE 2015'!$H$283,'CHIFFRAGE 2015'!$H$299,'CHIFFRAGE 2015'!$H$387,'CHIFFRAGE 2015'!$H$477)</c:f>
              <c:numCache>
                <c:formatCode>#,##0.00</c:formatCode>
                <c:ptCount val="15"/>
                <c:pt idx="0">
                  <c:v>450</c:v>
                </c:pt>
                <c:pt idx="1">
                  <c:v>1495</c:v>
                </c:pt>
                <c:pt idx="2">
                  <c:v>11250</c:v>
                </c:pt>
                <c:pt idx="3">
                  <c:v>22744</c:v>
                </c:pt>
                <c:pt idx="4">
                  <c:v>8000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3453776108043562"/>
          <c:y val="0.1128205599044137"/>
          <c:w val="5.0790095710893268E-2"/>
          <c:h val="0.77094049268016063"/>
        </c:manualLayout>
      </c:layout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</xdr:colOff>
      <xdr:row>452</xdr:row>
      <xdr:rowOff>0</xdr:rowOff>
    </xdr:from>
    <xdr:to>
      <xdr:col>14</xdr:col>
      <xdr:colOff>152400</xdr:colOff>
      <xdr:row>472</xdr:row>
      <xdr:rowOff>114300</xdr:rowOff>
    </xdr:to>
    <xdr:pic>
      <xdr:nvPicPr>
        <xdr:cNvPr id="15524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5680" y="82776060"/>
          <a:ext cx="4358640" cy="393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60960</xdr:colOff>
      <xdr:row>475</xdr:row>
      <xdr:rowOff>175260</xdr:rowOff>
    </xdr:from>
    <xdr:to>
      <xdr:col>21</xdr:col>
      <xdr:colOff>251460</xdr:colOff>
      <xdr:row>505</xdr:row>
      <xdr:rowOff>38100</xdr:rowOff>
    </xdr:to>
    <xdr:graphicFrame macro="">
      <xdr:nvGraphicFramePr>
        <xdr:cNvPr id="1552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ION%20ET%20ECOLES/Bilan%20sc&#233;nario%20&#233;conomique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"/>
      <sheetName val="Emprunts"/>
      <sheetName val="Revenues"/>
      <sheetName val="Dépenses"/>
      <sheetName val="Bilan"/>
      <sheetName val="Bilan au fil du temps"/>
      <sheetName val="Répartition de l'investissement"/>
      <sheetName val="Pour graph"/>
    </sheetNames>
    <sheetDataSet>
      <sheetData sheetId="0" refreshError="1"/>
      <sheetData sheetId="1" refreshError="1"/>
      <sheetData sheetId="2" refreshError="1"/>
      <sheetData sheetId="3">
        <row r="6">
          <cell r="O6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2c-sarl.fr/outil_calcul.php" TargetMode="External"/><Relationship Id="rId6" Type="http://schemas.openxmlformats.org/officeDocument/2006/relationships/comments" Target="../comments1.xm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AD525"/>
  <sheetViews>
    <sheetView showZeros="0" tabSelected="1" view="pageBreakPreview" zoomScale="85" zoomScaleNormal="100" zoomScaleSheetLayoutView="85" workbookViewId="0">
      <selection activeCell="L13" sqref="L13"/>
    </sheetView>
  </sheetViews>
  <sheetFormatPr baseColWidth="10" defaultColWidth="11.44140625" defaultRowHeight="13.8"/>
  <cols>
    <col min="1" max="1" width="2.44140625" style="5" customWidth="1"/>
    <col min="2" max="2" width="39" style="5" customWidth="1"/>
    <col min="3" max="4" width="12.88671875" style="5" customWidth="1"/>
    <col min="5" max="5" width="5" style="5" customWidth="1"/>
    <col min="6" max="6" width="10.44140625" style="282" customWidth="1"/>
    <col min="7" max="7" width="10.6640625" style="5" customWidth="1"/>
    <col min="8" max="8" width="13.6640625" style="5" customWidth="1"/>
    <col min="9" max="9" width="5" style="5" customWidth="1"/>
    <col min="10" max="10" width="11.44140625" style="5"/>
    <col min="11" max="11" width="12.44140625" style="5" customWidth="1"/>
    <col min="12" max="12" width="16.88671875" style="5" customWidth="1"/>
    <col min="13" max="13" width="10.6640625" style="5" customWidth="1"/>
    <col min="14" max="14" width="5" style="5" customWidth="1"/>
    <col min="15" max="15" width="3.5546875" style="5" customWidth="1"/>
    <col min="16" max="16" width="5.6640625" style="5" customWidth="1"/>
    <col min="17" max="22" width="5" style="5" customWidth="1"/>
    <col min="23" max="25" width="11.109375" style="5" customWidth="1"/>
    <col min="26" max="29" width="7.109375" style="5" customWidth="1"/>
    <col min="30" max="16384" width="11.44140625" style="5"/>
  </cols>
  <sheetData>
    <row r="2" spans="1:22" ht="61.5" customHeight="1">
      <c r="A2" s="636" t="s">
        <v>455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</row>
    <row r="3" spans="1:22" ht="14.4" thickBot="1">
      <c r="A3" s="64"/>
      <c r="B3" s="7"/>
      <c r="C3" s="7"/>
      <c r="D3" s="7"/>
      <c r="E3" s="7"/>
      <c r="F3" s="260"/>
      <c r="G3" s="7"/>
      <c r="H3" s="8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2" ht="19.5" customHeight="1" thickBot="1">
      <c r="A4" s="6"/>
      <c r="B4" s="1" t="s">
        <v>456</v>
      </c>
      <c r="C4" s="638"/>
      <c r="D4" s="638"/>
      <c r="E4" s="639"/>
      <c r="F4" s="260"/>
      <c r="G4" s="3" t="s">
        <v>0</v>
      </c>
      <c r="H4" s="212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</row>
    <row r="5" spans="1:22" ht="18.75" customHeight="1" thickBot="1">
      <c r="A5" s="6"/>
      <c r="B5" s="2" t="s">
        <v>1</v>
      </c>
      <c r="C5" s="640"/>
      <c r="D5" s="640"/>
      <c r="E5" s="641"/>
      <c r="F5" s="260"/>
      <c r="G5" s="4" t="s">
        <v>2</v>
      </c>
      <c r="H5" s="213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1:22" ht="19.5" customHeight="1" thickBot="1">
      <c r="A6" s="6"/>
      <c r="B6" s="214" t="s">
        <v>3</v>
      </c>
      <c r="C6" s="644" t="s">
        <v>484</v>
      </c>
      <c r="D6" s="645"/>
      <c r="E6" s="286"/>
      <c r="F6" s="289"/>
      <c r="G6" s="644" t="s">
        <v>485</v>
      </c>
      <c r="H6" s="645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</row>
    <row r="7" spans="1:22" ht="19.5" customHeight="1">
      <c r="A7" s="6"/>
      <c r="B7" s="7"/>
      <c r="C7" s="556"/>
      <c r="D7" s="215">
        <v>100</v>
      </c>
      <c r="E7" s="287"/>
      <c r="F7" s="290"/>
      <c r="G7" s="529"/>
      <c r="H7" s="215">
        <v>100</v>
      </c>
      <c r="I7" s="126"/>
      <c r="J7" s="194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2" ht="19.5" customHeight="1">
      <c r="A8" s="6"/>
      <c r="B8" s="7"/>
      <c r="C8" s="557"/>
      <c r="D8" s="215"/>
      <c r="E8" s="288"/>
      <c r="F8" s="290"/>
      <c r="G8" s="530"/>
      <c r="H8" s="215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</row>
    <row r="9" spans="1:22" ht="19.5" customHeight="1">
      <c r="A9" s="6"/>
      <c r="B9" s="53"/>
      <c r="C9" s="557"/>
      <c r="D9" s="215"/>
      <c r="E9" s="288"/>
      <c r="F9" s="290"/>
      <c r="G9" s="530"/>
      <c r="H9" s="215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</row>
    <row r="10" spans="1:22" ht="19.5" customHeight="1" thickBot="1">
      <c r="A10" s="6"/>
      <c r="B10" s="7"/>
      <c r="C10" s="558"/>
      <c r="D10" s="215"/>
      <c r="E10" s="288"/>
      <c r="F10" s="290"/>
      <c r="G10" s="531"/>
      <c r="H10" s="291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</row>
    <row r="11" spans="1:22" ht="19.5" customHeight="1" thickBot="1">
      <c r="A11" s="6"/>
      <c r="B11" s="7"/>
      <c r="C11" s="292" t="s">
        <v>458</v>
      </c>
      <c r="D11" s="294">
        <f>SUM(D7:D10)</f>
        <v>100</v>
      </c>
      <c r="E11" s="293">
        <f>SUM(A6:A10)+SUM(E7:E10)</f>
        <v>0</v>
      </c>
      <c r="F11" s="298"/>
      <c r="G11" s="299" t="s">
        <v>458</v>
      </c>
      <c r="H11" s="300">
        <f>SUM(H7:H10)</f>
        <v>100</v>
      </c>
      <c r="I11" s="126"/>
      <c r="J11" s="672"/>
      <c r="K11" s="672"/>
      <c r="L11" s="671" t="s">
        <v>586</v>
      </c>
      <c r="M11" s="672"/>
      <c r="N11" s="672"/>
      <c r="O11" s="672"/>
      <c r="P11" s="126"/>
      <c r="Q11" s="126"/>
      <c r="R11" s="126"/>
      <c r="S11" s="126"/>
      <c r="T11" s="126"/>
      <c r="U11" s="126"/>
      <c r="V11" s="126"/>
    </row>
    <row r="12" spans="1:22" ht="19.5" customHeight="1">
      <c r="A12" s="6"/>
      <c r="B12" s="7"/>
      <c r="C12" s="556"/>
      <c r="D12" s="215">
        <v>50</v>
      </c>
      <c r="E12" s="288"/>
      <c r="F12" s="301"/>
      <c r="G12" s="302"/>
      <c r="H12" s="303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</row>
    <row r="13" spans="1:22" ht="19.5" customHeight="1">
      <c r="A13" s="6"/>
      <c r="B13" s="7"/>
      <c r="C13" s="558"/>
      <c r="D13" s="215"/>
      <c r="E13" s="288"/>
      <c r="F13" s="304"/>
      <c r="G13" s="305"/>
      <c r="H13" s="30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</row>
    <row r="14" spans="1:22" ht="19.5" customHeight="1" thickBot="1">
      <c r="A14" s="6"/>
      <c r="B14" s="7"/>
      <c r="C14" s="559"/>
      <c r="D14" s="216"/>
      <c r="E14" s="297"/>
      <c r="F14" s="307"/>
      <c r="G14" s="308"/>
      <c r="H14" s="309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</row>
    <row r="15" spans="1:22" ht="19.5" customHeight="1" thickBot="1">
      <c r="A15" s="6"/>
      <c r="B15" s="7"/>
      <c r="C15" s="210"/>
      <c r="D15" s="211"/>
      <c r="E15" s="211"/>
      <c r="F15" s="261"/>
      <c r="G15" s="217" t="s">
        <v>547</v>
      </c>
      <c r="H15" s="295">
        <f>+D11+H11</f>
        <v>200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</row>
    <row r="16" spans="1:22" ht="21" customHeight="1" thickBot="1">
      <c r="A16" s="6"/>
      <c r="B16" s="7"/>
      <c r="C16" s="210"/>
      <c r="D16" s="211"/>
      <c r="E16" s="211"/>
      <c r="F16" s="261"/>
      <c r="G16" s="217" t="s">
        <v>459</v>
      </c>
      <c r="H16" s="295">
        <f>SUM(D12:D14)</f>
        <v>50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</row>
    <row r="17" spans="1:22" ht="21" customHeight="1" thickBot="1">
      <c r="A17" s="6"/>
      <c r="B17" s="7"/>
      <c r="C17" s="210"/>
      <c r="D17" s="211"/>
      <c r="E17" s="211"/>
      <c r="F17" s="261"/>
      <c r="G17" s="217" t="s">
        <v>457</v>
      </c>
      <c r="H17" s="296">
        <f>+D11+H11+H16</f>
        <v>250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21" customHeight="1" thickBot="1">
      <c r="A18" s="6"/>
      <c r="B18" s="7"/>
      <c r="C18" s="210"/>
      <c r="D18" s="211"/>
      <c r="E18" s="211"/>
      <c r="F18" s="261"/>
      <c r="G18" s="217" t="s">
        <v>466</v>
      </c>
      <c r="H18" s="228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</row>
    <row r="19" spans="1:22" ht="14.4" thickBot="1">
      <c r="A19" s="6"/>
      <c r="B19" s="7"/>
      <c r="C19" s="7"/>
      <c r="D19" s="7"/>
      <c r="E19" s="7"/>
      <c r="F19" s="260"/>
      <c r="G19" s="7"/>
      <c r="H19" s="8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</row>
    <row r="20" spans="1:22" ht="18.75" customHeight="1" thickTop="1" thickBot="1">
      <c r="A20" s="6"/>
      <c r="B20" s="613" t="s">
        <v>205</v>
      </c>
      <c r="C20" s="614"/>
      <c r="D20" s="614"/>
      <c r="E20" s="614"/>
      <c r="F20" s="614"/>
      <c r="G20" s="618"/>
      <c r="H20" s="120">
        <f>SUM(H21:H42)</f>
        <v>450</v>
      </c>
      <c r="I20" s="642" t="s">
        <v>112</v>
      </c>
      <c r="J20" s="642"/>
      <c r="K20" s="642"/>
      <c r="L20" s="642"/>
      <c r="M20" s="642"/>
      <c r="N20" s="642"/>
      <c r="O20" s="642"/>
      <c r="P20" s="642"/>
      <c r="Q20" s="642"/>
      <c r="R20" s="642"/>
      <c r="S20" s="642"/>
      <c r="T20" s="642"/>
      <c r="U20" s="642"/>
      <c r="V20" s="643"/>
    </row>
    <row r="21" spans="1:22" ht="18" customHeight="1" thickBot="1">
      <c r="A21" s="6"/>
      <c r="B21" s="7"/>
      <c r="C21" s="560" t="s">
        <v>390</v>
      </c>
      <c r="D21" s="99" t="s">
        <v>446</v>
      </c>
      <c r="E21" s="7"/>
      <c r="F21" s="260"/>
      <c r="G21" s="7"/>
      <c r="H21" s="9"/>
      <c r="I21" s="649" t="s">
        <v>113</v>
      </c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50"/>
    </row>
    <row r="22" spans="1:22" ht="15" customHeight="1" thickBot="1">
      <c r="A22" s="10">
        <v>0</v>
      </c>
      <c r="B22" s="11" t="s">
        <v>460</v>
      </c>
      <c r="C22" s="561">
        <v>100</v>
      </c>
      <c r="D22" s="232">
        <v>0.3</v>
      </c>
      <c r="E22" s="494" t="s">
        <v>111</v>
      </c>
      <c r="F22" s="244">
        <f>+C22*D22</f>
        <v>30</v>
      </c>
      <c r="G22" s="54">
        <v>15</v>
      </c>
      <c r="H22" s="12">
        <f>F22*G22</f>
        <v>450</v>
      </c>
      <c r="I22" s="13"/>
      <c r="J22" s="13"/>
      <c r="K22" s="13"/>
      <c r="L22" s="13"/>
      <c r="M22" s="13"/>
      <c r="N22" s="13"/>
      <c r="O22" s="14"/>
      <c r="P22" s="14"/>
      <c r="Q22" s="14"/>
      <c r="R22" s="14"/>
      <c r="S22" s="14"/>
      <c r="T22" s="14"/>
      <c r="U22" s="14"/>
      <c r="V22" s="15"/>
    </row>
    <row r="23" spans="1:22" ht="15" customHeight="1" thickBot="1">
      <c r="A23" s="10"/>
      <c r="B23" s="11" t="s">
        <v>463</v>
      </c>
      <c r="C23" s="561"/>
      <c r="D23" s="232"/>
      <c r="E23" s="494" t="s">
        <v>111</v>
      </c>
      <c r="F23" s="244"/>
      <c r="G23" s="54">
        <v>40</v>
      </c>
      <c r="H23" s="12"/>
      <c r="I23" s="13"/>
      <c r="J23" s="13"/>
      <c r="K23" s="13"/>
      <c r="L23" s="13"/>
      <c r="M23" s="13"/>
      <c r="N23" s="13"/>
      <c r="O23" s="14"/>
      <c r="P23" s="14"/>
      <c r="Q23" s="14"/>
      <c r="R23" s="14"/>
      <c r="S23" s="14"/>
      <c r="T23" s="14"/>
      <c r="U23" s="14"/>
      <c r="V23" s="15"/>
    </row>
    <row r="24" spans="1:22" ht="15" customHeight="1" thickBot="1">
      <c r="A24" s="10"/>
      <c r="B24" s="11" t="s">
        <v>461</v>
      </c>
      <c r="C24" s="561"/>
      <c r="D24" s="232"/>
      <c r="E24" s="494" t="s">
        <v>111</v>
      </c>
      <c r="F24" s="244"/>
      <c r="G24" s="54">
        <v>45</v>
      </c>
      <c r="H24" s="12"/>
      <c r="I24" s="13"/>
      <c r="J24" s="13"/>
      <c r="K24" s="13"/>
      <c r="L24" s="13"/>
      <c r="M24" s="13"/>
      <c r="N24" s="13"/>
      <c r="O24" s="14"/>
      <c r="P24" s="14"/>
      <c r="Q24" s="14"/>
      <c r="R24" s="14"/>
      <c r="S24" s="14"/>
      <c r="T24" s="14"/>
      <c r="U24" s="14"/>
      <c r="V24" s="15"/>
    </row>
    <row r="25" spans="1:22" ht="15" customHeight="1" thickBot="1">
      <c r="A25" s="10"/>
      <c r="B25" s="11" t="s">
        <v>462</v>
      </c>
      <c r="C25" s="561"/>
      <c r="D25" s="232"/>
      <c r="E25" s="494" t="s">
        <v>110</v>
      </c>
      <c r="F25" s="244">
        <f>+C25</f>
        <v>0</v>
      </c>
      <c r="G25" s="54">
        <v>35</v>
      </c>
      <c r="H25" s="12">
        <f>F25*G25</f>
        <v>0</v>
      </c>
      <c r="I25" s="13"/>
      <c r="J25" s="13"/>
      <c r="K25" s="13"/>
      <c r="L25" s="13"/>
      <c r="M25" s="13"/>
      <c r="N25" s="13"/>
      <c r="O25" s="14"/>
      <c r="P25" s="14"/>
      <c r="Q25" s="14"/>
      <c r="R25" s="14"/>
      <c r="S25" s="14"/>
      <c r="T25" s="14"/>
      <c r="U25" s="14"/>
      <c r="V25" s="15"/>
    </row>
    <row r="26" spans="1:22" ht="15" customHeight="1" thickBot="1">
      <c r="A26" s="10">
        <v>0</v>
      </c>
      <c r="B26" s="11" t="s">
        <v>464</v>
      </c>
      <c r="C26" s="561"/>
      <c r="D26" s="232"/>
      <c r="E26" s="494" t="s">
        <v>385</v>
      </c>
      <c r="F26" s="244">
        <f>C26*D26</f>
        <v>0</v>
      </c>
      <c r="G26" s="54">
        <v>2</v>
      </c>
      <c r="H26" s="12">
        <f>F26*G26</f>
        <v>0</v>
      </c>
      <c r="I26" s="13"/>
      <c r="J26" s="13"/>
      <c r="K26" s="13"/>
      <c r="L26" s="13"/>
      <c r="M26" s="13"/>
      <c r="N26" s="13"/>
      <c r="O26" s="14"/>
      <c r="P26" s="14"/>
      <c r="Q26" s="14"/>
      <c r="R26" s="14"/>
      <c r="S26" s="14"/>
      <c r="T26" s="14"/>
      <c r="U26" s="14"/>
      <c r="V26" s="15"/>
    </row>
    <row r="27" spans="1:22" ht="15" customHeight="1" thickBot="1">
      <c r="A27" s="10">
        <v>0</v>
      </c>
      <c r="B27" s="11" t="s">
        <v>465</v>
      </c>
      <c r="C27" s="561"/>
      <c r="D27" s="232"/>
      <c r="E27" s="494" t="s">
        <v>154</v>
      </c>
      <c r="F27" s="244">
        <f>C27*D27</f>
        <v>0</v>
      </c>
      <c r="G27" s="54">
        <v>100</v>
      </c>
      <c r="H27" s="12">
        <f>F27*G27</f>
        <v>0</v>
      </c>
      <c r="I27" s="16"/>
      <c r="J27" s="13"/>
      <c r="K27" s="13"/>
      <c r="L27" s="13"/>
      <c r="M27" s="17" t="s">
        <v>114</v>
      </c>
      <c r="N27" s="13"/>
      <c r="O27" s="18"/>
      <c r="P27" s="18"/>
      <c r="Q27" s="18"/>
      <c r="R27" s="18"/>
      <c r="S27" s="18"/>
      <c r="T27" s="18"/>
      <c r="U27" s="18"/>
      <c r="V27" s="19"/>
    </row>
    <row r="28" spans="1:22" ht="15.75" customHeight="1" thickBot="1">
      <c r="A28" s="10">
        <v>0</v>
      </c>
      <c r="B28" s="11"/>
      <c r="C28" s="11"/>
      <c r="D28" s="11"/>
      <c r="E28" s="11"/>
      <c r="F28" s="262"/>
      <c r="G28" s="11"/>
      <c r="H28" s="11"/>
      <c r="I28" s="220" t="s">
        <v>115</v>
      </c>
      <c r="J28" s="624" t="s">
        <v>116</v>
      </c>
      <c r="K28" s="625"/>
      <c r="L28" s="625"/>
      <c r="M28" s="230">
        <f>IF(O28=1,H18,0)</f>
        <v>0</v>
      </c>
      <c r="N28" s="21" t="s">
        <v>117</v>
      </c>
      <c r="O28" s="231"/>
      <c r="P28" s="651" t="s">
        <v>108</v>
      </c>
      <c r="Q28" s="652"/>
      <c r="R28" s="652"/>
      <c r="S28" s="652"/>
      <c r="T28" s="652"/>
      <c r="U28" s="652"/>
      <c r="V28" s="653"/>
    </row>
    <row r="29" spans="1:22" ht="16.5" customHeight="1" thickBot="1">
      <c r="A29" s="10">
        <v>0</v>
      </c>
      <c r="B29" s="11" t="s">
        <v>63</v>
      </c>
      <c r="C29" s="7"/>
      <c r="D29" s="7"/>
      <c r="E29" s="7"/>
      <c r="F29" s="260"/>
      <c r="G29" s="7"/>
      <c r="H29" s="9"/>
      <c r="I29" s="40" t="s">
        <v>118</v>
      </c>
      <c r="J29" s="657" t="s">
        <v>119</v>
      </c>
      <c r="K29" s="658"/>
      <c r="L29" s="659"/>
      <c r="M29" s="218"/>
      <c r="N29" s="219" t="s">
        <v>117</v>
      </c>
      <c r="O29" s="22"/>
      <c r="P29" s="646" t="s">
        <v>104</v>
      </c>
      <c r="Q29" s="621" t="str">
        <f>+B35</f>
        <v>Cuve en polyétylène</v>
      </c>
      <c r="R29" s="621" t="s">
        <v>105</v>
      </c>
      <c r="S29" s="621" t="s">
        <v>109</v>
      </c>
      <c r="T29" s="621" t="s">
        <v>106</v>
      </c>
      <c r="U29" s="621" t="s">
        <v>107</v>
      </c>
      <c r="V29" s="654" t="s">
        <v>103</v>
      </c>
    </row>
    <row r="30" spans="1:22" ht="15" customHeight="1" thickBot="1">
      <c r="A30" s="10">
        <v>0</v>
      </c>
      <c r="B30" s="24" t="str">
        <f>V29</f>
        <v>Noues</v>
      </c>
      <c r="C30" s="11"/>
      <c r="D30" s="233">
        <f>IF(R34=1,R35,0)</f>
        <v>0</v>
      </c>
      <c r="E30" s="495" t="s">
        <v>111</v>
      </c>
      <c r="F30" s="263"/>
      <c r="G30" s="54">
        <v>50</v>
      </c>
      <c r="H30" s="12">
        <f>IF(V34=1,D30*G30+F30,IF(V34=0,0))</f>
        <v>0</v>
      </c>
      <c r="I30" s="25"/>
      <c r="J30" s="26" t="s">
        <v>134</v>
      </c>
      <c r="K30" s="27"/>
      <c r="L30" s="28"/>
      <c r="M30" s="29"/>
      <c r="N30" s="30"/>
      <c r="O30" s="22"/>
      <c r="P30" s="647"/>
      <c r="Q30" s="622"/>
      <c r="R30" s="622"/>
      <c r="S30" s="622"/>
      <c r="T30" s="622"/>
      <c r="U30" s="622"/>
      <c r="V30" s="655"/>
    </row>
    <row r="31" spans="1:22" ht="15" customHeight="1">
      <c r="A31" s="10">
        <v>0</v>
      </c>
      <c r="B31" s="24" t="str">
        <f>S29</f>
        <v>enrobé drainant</v>
      </c>
      <c r="C31" s="11"/>
      <c r="D31" s="234">
        <f>IF(S34=1,S35,0)</f>
        <v>0</v>
      </c>
      <c r="E31" s="496" t="s">
        <v>110</v>
      </c>
      <c r="F31" s="264"/>
      <c r="G31" s="54">
        <v>60</v>
      </c>
      <c r="H31" s="12">
        <f>IF(S34=1,D31*G31+F31,IF(S34=0,0))</f>
        <v>0</v>
      </c>
      <c r="I31" s="23" t="s">
        <v>120</v>
      </c>
      <c r="J31" s="633" t="s">
        <v>121</v>
      </c>
      <c r="K31" s="634"/>
      <c r="L31" s="635"/>
      <c r="M31" s="31">
        <f>3*M28/10000</f>
        <v>0</v>
      </c>
      <c r="N31" s="32" t="s">
        <v>122</v>
      </c>
      <c r="O31" s="22"/>
      <c r="P31" s="647"/>
      <c r="Q31" s="622"/>
      <c r="R31" s="622"/>
      <c r="S31" s="622"/>
      <c r="T31" s="622"/>
      <c r="U31" s="622"/>
      <c r="V31" s="655"/>
    </row>
    <row r="32" spans="1:22" ht="15" customHeight="1" thickBot="1">
      <c r="A32" s="10">
        <v>0</v>
      </c>
      <c r="B32" s="24" t="str">
        <f>T29</f>
        <v>enrobés imperméables</v>
      </c>
      <c r="C32" s="11"/>
      <c r="D32" s="234">
        <f>IF(T34=1,T35,0)</f>
        <v>0</v>
      </c>
      <c r="E32" s="496" t="s">
        <v>110</v>
      </c>
      <c r="F32" s="264"/>
      <c r="G32" s="54">
        <v>110</v>
      </c>
      <c r="H32" s="12">
        <f>IF(T34=1,D32*G32+F32,IF(T34=0,0))</f>
        <v>0</v>
      </c>
      <c r="I32" s="25"/>
      <c r="J32" s="33"/>
      <c r="K32" s="34" t="s">
        <v>135</v>
      </c>
      <c r="L32" s="35"/>
      <c r="M32" s="29"/>
      <c r="N32" s="30"/>
      <c r="O32" s="22"/>
      <c r="P32" s="647"/>
      <c r="Q32" s="622"/>
      <c r="R32" s="622"/>
      <c r="S32" s="622"/>
      <c r="T32" s="622"/>
      <c r="U32" s="622"/>
      <c r="V32" s="655"/>
    </row>
    <row r="33" spans="1:22" ht="28.5" customHeight="1" thickBot="1">
      <c r="A33" s="10"/>
      <c r="B33" s="24" t="str">
        <f>U29</f>
        <v>structure alvéolaire</v>
      </c>
      <c r="C33" s="11"/>
      <c r="D33" s="234">
        <f>IF(U34=1,U35,0)</f>
        <v>0</v>
      </c>
      <c r="E33" s="496" t="s">
        <v>111</v>
      </c>
      <c r="F33" s="264"/>
      <c r="G33" s="54">
        <v>400</v>
      </c>
      <c r="H33" s="12">
        <f>IF(U34=1,D33*G33+F33,IF(U34=0,0))</f>
        <v>0</v>
      </c>
      <c r="I33" s="23" t="s">
        <v>123</v>
      </c>
      <c r="J33" s="660" t="s">
        <v>124</v>
      </c>
      <c r="K33" s="661"/>
      <c r="L33" s="662"/>
      <c r="M33" s="224" t="e">
        <f>3600*M31/M29</f>
        <v>#DIV/0!</v>
      </c>
      <c r="N33" s="32" t="s">
        <v>126</v>
      </c>
      <c r="O33" s="22"/>
      <c r="P33" s="648"/>
      <c r="Q33" s="623"/>
      <c r="R33" s="623"/>
      <c r="S33" s="623"/>
      <c r="T33" s="623"/>
      <c r="U33" s="623"/>
      <c r="V33" s="656"/>
    </row>
    <row r="34" spans="1:22" ht="15" customHeight="1" thickBot="1">
      <c r="A34" s="10">
        <v>0</v>
      </c>
      <c r="B34" s="24" t="str">
        <f>P29</f>
        <v>Bassin enherbé</v>
      </c>
      <c r="C34" s="11"/>
      <c r="D34" s="234">
        <f>IF(P34=1,P35,0)</f>
        <v>0</v>
      </c>
      <c r="E34" s="496" t="s">
        <v>111</v>
      </c>
      <c r="F34" s="265">
        <v>1500</v>
      </c>
      <c r="G34" s="54">
        <v>150</v>
      </c>
      <c r="H34" s="12">
        <f>IF(P34=1,D34*G34+F34,IF(P34=0,0))</f>
        <v>0</v>
      </c>
      <c r="I34" s="25"/>
      <c r="J34" s="33"/>
      <c r="K34" s="34" t="s">
        <v>125</v>
      </c>
      <c r="L34" s="35"/>
      <c r="M34" s="225"/>
      <c r="N34" s="30"/>
      <c r="O34" s="22"/>
      <c r="P34" s="221">
        <v>0</v>
      </c>
      <c r="Q34" s="222"/>
      <c r="R34" s="222"/>
      <c r="S34" s="222">
        <v>0</v>
      </c>
      <c r="T34" s="222">
        <v>0</v>
      </c>
      <c r="U34" s="222"/>
      <c r="V34" s="223">
        <v>0</v>
      </c>
    </row>
    <row r="35" spans="1:22" ht="15" customHeight="1" thickBot="1">
      <c r="A35" s="10">
        <v>0</v>
      </c>
      <c r="B35" s="24" t="s">
        <v>414</v>
      </c>
      <c r="C35" s="11"/>
      <c r="D35" s="234">
        <f>IF(Q34=1,Q35,0)</f>
        <v>0</v>
      </c>
      <c r="E35" s="496" t="s">
        <v>111</v>
      </c>
      <c r="F35" s="265">
        <v>2000</v>
      </c>
      <c r="G35" s="54">
        <v>500</v>
      </c>
      <c r="H35" s="12">
        <f>IF(Q34=1,D35*G35+F35,IF(Q34=0,0))</f>
        <v>0</v>
      </c>
      <c r="I35" s="20" t="s">
        <v>127</v>
      </c>
      <c r="J35" s="624" t="s">
        <v>128</v>
      </c>
      <c r="K35" s="625"/>
      <c r="L35" s="632"/>
      <c r="M35" s="226" t="e">
        <f>42.595*(POWER(M33,-0.348))</f>
        <v>#DIV/0!</v>
      </c>
      <c r="N35" s="36" t="s">
        <v>129</v>
      </c>
      <c r="O35" s="22"/>
      <c r="P35" s="37">
        <f>IF(P34&gt;0,M36,IF(P34&lt;1,0))</f>
        <v>0</v>
      </c>
      <c r="Q35" s="38">
        <f>IF(Q34&gt;0,M36,IF(Q34&lt;1,0))</f>
        <v>0</v>
      </c>
      <c r="R35" s="38">
        <f>IF(R34&gt;0,M36,IF(R34&lt;1,0))</f>
        <v>0</v>
      </c>
      <c r="S35" s="38">
        <f>IF(S34&gt;0,M36,IF(S34&lt;1,0))</f>
        <v>0</v>
      </c>
      <c r="T35" s="38">
        <f>IF(T34&gt;0,M36,IF(T34&lt;1,0))</f>
        <v>0</v>
      </c>
      <c r="U35" s="38">
        <f>IF(U34&gt;0,M36,IF(U34&lt;1,0))</f>
        <v>0</v>
      </c>
      <c r="V35" s="39">
        <f>IF(V34&gt;0,M36,IF(V34&lt;1,0))</f>
        <v>0</v>
      </c>
    </row>
    <row r="36" spans="1:22" ht="17.25" customHeight="1" thickBot="1">
      <c r="A36" s="10"/>
      <c r="B36" s="24" t="str">
        <f>R29</f>
        <v>Bassin en béton</v>
      </c>
      <c r="C36" s="11"/>
      <c r="D36" s="235">
        <f>IF(R34=1,R35,0)</f>
        <v>0</v>
      </c>
      <c r="E36" s="497" t="s">
        <v>111</v>
      </c>
      <c r="F36" s="266">
        <v>3000</v>
      </c>
      <c r="G36" s="54">
        <v>300</v>
      </c>
      <c r="H36" s="12">
        <f>IF(R34=1,D36*G36+F36,IF(R34=0,0))</f>
        <v>0</v>
      </c>
      <c r="I36" s="40" t="s">
        <v>130</v>
      </c>
      <c r="J36" s="633" t="s">
        <v>131</v>
      </c>
      <c r="K36" s="634"/>
      <c r="L36" s="635"/>
      <c r="M36" s="227" t="e">
        <f>M35*M29/1000</f>
        <v>#DIV/0!</v>
      </c>
      <c r="N36" s="41" t="s">
        <v>133</v>
      </c>
      <c r="O36" s="22"/>
      <c r="P36" s="22"/>
      <c r="Q36" s="22"/>
      <c r="R36" s="22"/>
      <c r="S36" s="22"/>
      <c r="T36" s="22"/>
      <c r="U36" s="22"/>
      <c r="V36" s="42"/>
    </row>
    <row r="37" spans="1:22" ht="15" customHeight="1" thickBot="1">
      <c r="A37" s="6"/>
      <c r="B37" s="7"/>
      <c r="C37" s="24"/>
      <c r="D37" s="7"/>
      <c r="E37" s="24"/>
      <c r="F37" s="267"/>
      <c r="G37" s="24"/>
      <c r="H37" s="43"/>
      <c r="I37" s="44"/>
      <c r="J37" s="45"/>
      <c r="K37" s="46" t="s">
        <v>132</v>
      </c>
      <c r="L37" s="47"/>
      <c r="M37" s="48"/>
      <c r="N37" s="49"/>
      <c r="O37" s="50"/>
      <c r="P37" s="50"/>
      <c r="Q37" s="50"/>
      <c r="R37" s="50"/>
      <c r="S37" s="50"/>
      <c r="T37" s="50"/>
      <c r="U37" s="50"/>
      <c r="V37" s="51"/>
    </row>
    <row r="38" spans="1:22" ht="15" customHeight="1" thickTop="1" thickBot="1">
      <c r="A38" s="6"/>
      <c r="B38" s="92" t="s">
        <v>4</v>
      </c>
      <c r="C38" s="7"/>
      <c r="D38" s="7"/>
      <c r="E38" s="52"/>
      <c r="F38" s="250"/>
      <c r="G38" s="54"/>
      <c r="H38" s="9"/>
    </row>
    <row r="39" spans="1:22" ht="15" customHeight="1" thickBot="1">
      <c r="A39" s="6"/>
      <c r="B39" s="52" t="s">
        <v>467</v>
      </c>
      <c r="C39" s="24" t="s">
        <v>468</v>
      </c>
      <c r="D39" s="7"/>
      <c r="E39" s="494" t="s">
        <v>153</v>
      </c>
      <c r="F39" s="252"/>
      <c r="G39" s="54">
        <v>150</v>
      </c>
      <c r="H39" s="12">
        <f>F39*G39</f>
        <v>0</v>
      </c>
    </row>
    <row r="40" spans="1:22" ht="15" customHeight="1" thickBot="1">
      <c r="A40" s="6"/>
      <c r="B40" s="52" t="s">
        <v>366</v>
      </c>
      <c r="C40" s="24" t="s">
        <v>469</v>
      </c>
      <c r="D40" s="7"/>
      <c r="E40" s="494" t="s">
        <v>110</v>
      </c>
      <c r="F40" s="249">
        <v>0</v>
      </c>
      <c r="G40" s="54">
        <v>25</v>
      </c>
      <c r="H40" s="12">
        <f>F40*G40</f>
        <v>0</v>
      </c>
    </row>
    <row r="41" spans="1:22" ht="15" customHeight="1" thickBot="1">
      <c r="A41" s="6"/>
      <c r="B41" s="52" t="s">
        <v>367</v>
      </c>
      <c r="C41" s="24" t="s">
        <v>470</v>
      </c>
      <c r="D41" s="7"/>
      <c r="E41" s="494" t="s">
        <v>153</v>
      </c>
      <c r="F41" s="244"/>
      <c r="G41" s="54">
        <v>45</v>
      </c>
      <c r="H41" s="12">
        <f>F41*G41</f>
        <v>0</v>
      </c>
    </row>
    <row r="42" spans="1:22" ht="15" customHeight="1" thickBot="1">
      <c r="A42" s="6"/>
      <c r="B42" s="52" t="s">
        <v>411</v>
      </c>
      <c r="C42" s="24" t="s">
        <v>471</v>
      </c>
      <c r="D42" s="7"/>
      <c r="E42" s="494" t="s">
        <v>154</v>
      </c>
      <c r="F42" s="245">
        <f>IF(F40&gt;1,1,0)</f>
        <v>0</v>
      </c>
      <c r="G42" s="54">
        <v>3500</v>
      </c>
      <c r="H42" s="12">
        <f>F42*G42</f>
        <v>0</v>
      </c>
    </row>
    <row r="43" spans="1:22" ht="18.75" customHeight="1" thickBot="1">
      <c r="A43" s="6"/>
      <c r="B43" s="613" t="s">
        <v>392</v>
      </c>
      <c r="C43" s="614"/>
      <c r="D43" s="614"/>
      <c r="E43" s="614"/>
      <c r="F43" s="614"/>
      <c r="G43" s="618"/>
      <c r="H43" s="120">
        <f>SUM(H45:H53)</f>
        <v>1495</v>
      </c>
    </row>
    <row r="44" spans="1:22" ht="15" customHeight="1" thickBot="1">
      <c r="A44" s="6"/>
      <c r="B44" s="52"/>
      <c r="C44" s="7"/>
      <c r="D44" s="7"/>
      <c r="E44" s="498"/>
      <c r="F44" s="250"/>
      <c r="G44" s="54"/>
      <c r="H44" s="55"/>
    </row>
    <row r="45" spans="1:22" ht="15" customHeight="1" thickBot="1">
      <c r="A45" s="10">
        <v>0</v>
      </c>
      <c r="B45" s="24" t="s">
        <v>393</v>
      </c>
      <c r="C45" s="562"/>
      <c r="D45" s="232">
        <v>26</v>
      </c>
      <c r="E45" s="494" t="s">
        <v>153</v>
      </c>
      <c r="F45" s="244">
        <f>+D45</f>
        <v>26</v>
      </c>
      <c r="G45" s="54">
        <v>20</v>
      </c>
      <c r="H45" s="12">
        <f>F45*G45</f>
        <v>520</v>
      </c>
    </row>
    <row r="46" spans="1:22" ht="15" customHeight="1" thickBot="1">
      <c r="A46" s="10">
        <v>0</v>
      </c>
      <c r="B46" s="24" t="s">
        <v>394</v>
      </c>
      <c r="C46" s="562"/>
      <c r="D46" s="232"/>
      <c r="E46" s="494" t="s">
        <v>398</v>
      </c>
      <c r="F46" s="244">
        <f t="shared" ref="F46:F51" si="0">+D46</f>
        <v>0</v>
      </c>
      <c r="G46" s="54">
        <v>300</v>
      </c>
      <c r="H46" s="12">
        <f t="shared" ref="H46:H51" si="1">F46*G46</f>
        <v>0</v>
      </c>
    </row>
    <row r="47" spans="1:22" ht="15" customHeight="1" thickBot="1">
      <c r="A47" s="10">
        <v>0</v>
      </c>
      <c r="B47" s="24" t="s">
        <v>395</v>
      </c>
      <c r="C47" s="562"/>
      <c r="D47" s="232">
        <v>1</v>
      </c>
      <c r="E47" s="494" t="s">
        <v>154</v>
      </c>
      <c r="F47" s="244">
        <f t="shared" si="0"/>
        <v>1</v>
      </c>
      <c r="G47" s="54">
        <v>800</v>
      </c>
      <c r="H47" s="12">
        <f t="shared" si="1"/>
        <v>800</v>
      </c>
    </row>
    <row r="48" spans="1:22" ht="15" customHeight="1" thickBot="1">
      <c r="A48" s="10">
        <v>0</v>
      </c>
      <c r="B48" s="24" t="s">
        <v>396</v>
      </c>
      <c r="C48" s="562"/>
      <c r="D48" s="232">
        <v>25</v>
      </c>
      <c r="E48" s="494" t="s">
        <v>399</v>
      </c>
      <c r="F48" s="244">
        <f t="shared" si="0"/>
        <v>25</v>
      </c>
      <c r="G48" s="54">
        <v>7</v>
      </c>
      <c r="H48" s="12">
        <f t="shared" si="1"/>
        <v>175</v>
      </c>
    </row>
    <row r="49" spans="1:11" ht="15" customHeight="1" thickBot="1">
      <c r="A49" s="10">
        <v>0</v>
      </c>
      <c r="B49" s="24" t="s">
        <v>397</v>
      </c>
      <c r="C49" s="562"/>
      <c r="D49" s="232"/>
      <c r="E49" s="494" t="s">
        <v>399</v>
      </c>
      <c r="F49" s="244">
        <f t="shared" si="0"/>
        <v>0</v>
      </c>
      <c r="G49" s="54">
        <v>8</v>
      </c>
      <c r="H49" s="12">
        <f t="shared" si="1"/>
        <v>0</v>
      </c>
    </row>
    <row r="50" spans="1:11" ht="15" customHeight="1" thickBot="1">
      <c r="A50" s="10">
        <v>0</v>
      </c>
      <c r="B50" s="24" t="s">
        <v>400</v>
      </c>
      <c r="C50" s="562"/>
      <c r="D50" s="232"/>
      <c r="E50" s="494" t="s">
        <v>154</v>
      </c>
      <c r="F50" s="244">
        <f t="shared" si="0"/>
        <v>0</v>
      </c>
      <c r="G50" s="54">
        <v>6000</v>
      </c>
      <c r="H50" s="12">
        <f t="shared" si="1"/>
        <v>0</v>
      </c>
    </row>
    <row r="51" spans="1:11" ht="15" customHeight="1" thickBot="1">
      <c r="A51" s="6"/>
      <c r="B51" s="52" t="s">
        <v>401</v>
      </c>
      <c r="C51" s="562"/>
      <c r="D51" s="232"/>
      <c r="E51" s="494" t="s">
        <v>398</v>
      </c>
      <c r="F51" s="244">
        <f t="shared" si="0"/>
        <v>0</v>
      </c>
      <c r="G51" s="54">
        <v>3000</v>
      </c>
      <c r="H51" s="12">
        <f t="shared" si="1"/>
        <v>0</v>
      </c>
    </row>
    <row r="52" spans="1:11" ht="15" customHeight="1">
      <c r="A52" s="6"/>
      <c r="B52" s="52"/>
      <c r="C52" s="7"/>
      <c r="D52" s="7"/>
      <c r="E52" s="498"/>
      <c r="F52" s="250"/>
      <c r="G52" s="54"/>
      <c r="H52" s="55"/>
    </row>
    <row r="53" spans="1:11" ht="15" customHeight="1" thickBot="1">
      <c r="A53" s="6"/>
      <c r="B53" s="7"/>
      <c r="C53" s="7"/>
      <c r="D53" s="7"/>
      <c r="E53" s="52"/>
      <c r="F53" s="250"/>
      <c r="G53" s="54"/>
      <c r="H53" s="9"/>
    </row>
    <row r="54" spans="1:11" ht="18.75" customHeight="1" thickBot="1">
      <c r="A54" s="6"/>
      <c r="B54" s="613" t="s">
        <v>257</v>
      </c>
      <c r="C54" s="614"/>
      <c r="D54" s="614"/>
      <c r="E54" s="614"/>
      <c r="F54" s="614"/>
      <c r="G54" s="618"/>
      <c r="H54" s="120">
        <f>SUM(H55:H64)</f>
        <v>11250</v>
      </c>
      <c r="K54" s="136"/>
    </row>
    <row r="55" spans="1:11" ht="15" customHeight="1" thickBot="1">
      <c r="A55" s="6"/>
      <c r="B55" s="7" t="s">
        <v>252</v>
      </c>
      <c r="C55" s="155" t="s">
        <v>472</v>
      </c>
      <c r="D55" s="232">
        <v>200</v>
      </c>
      <c r="E55" s="494" t="s">
        <v>110</v>
      </c>
      <c r="F55" s="244">
        <f>+D55</f>
        <v>200</v>
      </c>
      <c r="G55" s="54">
        <v>5</v>
      </c>
      <c r="H55" s="12">
        <f>F55*G55</f>
        <v>1000</v>
      </c>
    </row>
    <row r="56" spans="1:11" ht="13.5" customHeight="1" thickBot="1">
      <c r="A56" s="6"/>
      <c r="B56" s="7"/>
      <c r="C56" s="155" t="s">
        <v>473</v>
      </c>
      <c r="D56" s="232"/>
      <c r="E56" s="494" t="s">
        <v>154</v>
      </c>
      <c r="F56" s="244">
        <f>+D56</f>
        <v>0</v>
      </c>
      <c r="G56" s="54">
        <v>60</v>
      </c>
      <c r="H56" s="12">
        <f>F56*G56</f>
        <v>0</v>
      </c>
    </row>
    <row r="57" spans="1:11" ht="13.5" customHeight="1" thickBot="1">
      <c r="A57" s="6"/>
      <c r="B57" s="7"/>
      <c r="C57" s="24"/>
      <c r="D57" s="7"/>
      <c r="E57" s="499"/>
      <c r="F57" s="268"/>
      <c r="G57" s="54"/>
      <c r="H57" s="129"/>
    </row>
    <row r="58" spans="1:11" ht="15" customHeight="1" thickBot="1">
      <c r="A58" s="6"/>
      <c r="B58" s="7" t="s">
        <v>253</v>
      </c>
      <c r="C58" s="24" t="s">
        <v>254</v>
      </c>
      <c r="D58" s="232"/>
      <c r="E58" s="494" t="s">
        <v>153</v>
      </c>
      <c r="F58" s="244">
        <f>+D58</f>
        <v>0</v>
      </c>
      <c r="G58" s="54">
        <v>35</v>
      </c>
      <c r="H58" s="12">
        <f>F58*G58</f>
        <v>0</v>
      </c>
      <c r="K58" s="58"/>
    </row>
    <row r="59" spans="1:11" ht="15" customHeight="1" thickBot="1">
      <c r="A59" s="6"/>
      <c r="B59" s="7"/>
      <c r="C59" s="24" t="s">
        <v>255</v>
      </c>
      <c r="D59" s="232"/>
      <c r="E59" s="494" t="s">
        <v>153</v>
      </c>
      <c r="F59" s="244">
        <f>+D59</f>
        <v>0</v>
      </c>
      <c r="G59" s="54">
        <v>60</v>
      </c>
      <c r="H59" s="12">
        <f>F59*G59</f>
        <v>0</v>
      </c>
    </row>
    <row r="60" spans="1:11" ht="6.75" customHeight="1" thickBot="1">
      <c r="A60" s="6"/>
      <c r="B60" s="7"/>
      <c r="C60" s="24"/>
      <c r="D60" s="7"/>
      <c r="E60" s="498"/>
      <c r="F60" s="250"/>
      <c r="G60" s="54"/>
      <c r="H60" s="9"/>
    </row>
    <row r="61" spans="1:11" ht="15" customHeight="1" thickBot="1">
      <c r="A61" s="10">
        <v>0</v>
      </c>
      <c r="B61" s="7" t="s">
        <v>403</v>
      </c>
      <c r="C61" s="562"/>
      <c r="D61" s="232">
        <v>5</v>
      </c>
      <c r="E61" s="105" t="s">
        <v>154</v>
      </c>
      <c r="F61" s="245">
        <f>+D61</f>
        <v>5</v>
      </c>
      <c r="G61" s="54">
        <v>1250</v>
      </c>
      <c r="H61" s="12">
        <f>F61*G61</f>
        <v>6250</v>
      </c>
    </row>
    <row r="62" spans="1:11" ht="15" customHeight="1" thickBot="1">
      <c r="A62" s="229">
        <v>1</v>
      </c>
      <c r="B62" s="52" t="s">
        <v>256</v>
      </c>
      <c r="C62" s="24" t="s">
        <v>386</v>
      </c>
      <c r="D62" s="7"/>
      <c r="E62" s="105" t="s">
        <v>154</v>
      </c>
      <c r="F62" s="245">
        <f>IF(A62=1,1,0)</f>
        <v>1</v>
      </c>
      <c r="G62" s="532">
        <f>IF(F62=1,D61*500,0)</f>
        <v>2500</v>
      </c>
      <c r="H62" s="12">
        <f>F62*G62</f>
        <v>2500</v>
      </c>
      <c r="I62" s="554"/>
    </row>
    <row r="63" spans="1:11" ht="15" customHeight="1" thickBot="1">
      <c r="A63" s="10">
        <v>0</v>
      </c>
      <c r="B63" s="7" t="s">
        <v>290</v>
      </c>
      <c r="C63" s="24" t="s">
        <v>474</v>
      </c>
      <c r="D63" s="7"/>
      <c r="E63" s="105" t="s">
        <v>154</v>
      </c>
      <c r="F63" s="244">
        <v>1</v>
      </c>
      <c r="G63" s="54">
        <v>1500</v>
      </c>
      <c r="H63" s="12">
        <f>F63*G63</f>
        <v>1500</v>
      </c>
    </row>
    <row r="64" spans="1:11" ht="15" customHeight="1" thickBot="1">
      <c r="A64" s="6"/>
      <c r="B64" s="7"/>
      <c r="C64" s="7"/>
      <c r="D64" s="7"/>
      <c r="E64" s="7"/>
      <c r="F64" s="250"/>
      <c r="G64" s="54"/>
      <c r="H64" s="9"/>
    </row>
    <row r="65" spans="1:14" ht="18.75" customHeight="1" thickBot="1">
      <c r="A65" s="6"/>
      <c r="B65" s="613" t="s">
        <v>5</v>
      </c>
      <c r="C65" s="614"/>
      <c r="D65" s="614"/>
      <c r="E65" s="614"/>
      <c r="F65" s="614"/>
      <c r="G65" s="618"/>
      <c r="H65" s="124">
        <f>SUM(H66:H116)</f>
        <v>22744</v>
      </c>
    </row>
    <row r="66" spans="1:14" ht="9" customHeight="1">
      <c r="A66" s="6"/>
      <c r="B66" s="7"/>
      <c r="C66" s="7"/>
      <c r="D66" s="7"/>
      <c r="E66" s="7"/>
      <c r="F66" s="250"/>
      <c r="G66" s="54"/>
      <c r="H66" s="55"/>
      <c r="J66" s="136"/>
    </row>
    <row r="67" spans="1:14" ht="25.5" customHeight="1" thickBot="1">
      <c r="A67" s="6"/>
      <c r="B67" s="56" t="s">
        <v>199</v>
      </c>
      <c r="C67" s="7"/>
      <c r="D67" s="7"/>
      <c r="E67" s="7"/>
      <c r="F67" s="250"/>
      <c r="G67" s="54"/>
      <c r="H67" s="196"/>
      <c r="K67" s="242" t="s">
        <v>481</v>
      </c>
      <c r="L67" s="241" t="s">
        <v>479</v>
      </c>
      <c r="M67" s="241" t="s">
        <v>480</v>
      </c>
      <c r="N67" s="94"/>
    </row>
    <row r="68" spans="1:14" ht="15" customHeight="1" thickBot="1">
      <c r="A68" s="10">
        <v>0</v>
      </c>
      <c r="B68" s="7" t="s">
        <v>447</v>
      </c>
      <c r="C68" s="24" t="s">
        <v>475</v>
      </c>
      <c r="D68" s="43"/>
      <c r="E68" s="494" t="s">
        <v>111</v>
      </c>
      <c r="F68" s="244">
        <f>+K68*L68*N67+K68*L68*M68*N68</f>
        <v>14.399999999999999</v>
      </c>
      <c r="G68" s="54">
        <v>260</v>
      </c>
      <c r="H68" s="12">
        <f t="shared" ref="H68:H99" si="2">F68*G68</f>
        <v>3743.9999999999995</v>
      </c>
      <c r="I68" s="122"/>
      <c r="J68" s="123" t="s">
        <v>298</v>
      </c>
      <c r="K68" s="240">
        <v>1.2</v>
      </c>
      <c r="L68" s="236">
        <v>1.2</v>
      </c>
      <c r="M68" s="238">
        <v>2</v>
      </c>
      <c r="N68" s="94">
        <v>5</v>
      </c>
    </row>
    <row r="69" spans="1:14" ht="15" customHeight="1" thickBot="1">
      <c r="A69" s="10">
        <v>0</v>
      </c>
      <c r="B69" s="7" t="s">
        <v>448</v>
      </c>
      <c r="C69" s="24" t="s">
        <v>475</v>
      </c>
      <c r="D69" s="43"/>
      <c r="E69" s="494" t="s">
        <v>111</v>
      </c>
      <c r="F69" s="244">
        <f>+K69*M69*L69</f>
        <v>6</v>
      </c>
      <c r="G69" s="54">
        <v>250</v>
      </c>
      <c r="H69" s="12">
        <f>F69*G69</f>
        <v>1500</v>
      </c>
      <c r="I69" s="122"/>
      <c r="J69" s="123" t="s">
        <v>298</v>
      </c>
      <c r="K69" s="240">
        <v>30</v>
      </c>
      <c r="L69" s="236">
        <v>0.5</v>
      </c>
      <c r="M69" s="238">
        <v>0.4</v>
      </c>
      <c r="N69" s="94"/>
    </row>
    <row r="70" spans="1:14" ht="15" customHeight="1" thickBot="1">
      <c r="A70" s="10"/>
      <c r="B70" s="7" t="s">
        <v>476</v>
      </c>
      <c r="C70" s="563"/>
      <c r="D70" s="232"/>
      <c r="E70" s="494" t="s">
        <v>110</v>
      </c>
      <c r="F70" s="245">
        <f>(+C70/3*D70)</f>
        <v>0</v>
      </c>
      <c r="G70" s="54">
        <v>45</v>
      </c>
      <c r="H70" s="239">
        <f>IF(C70&gt;0,F70*G70+7000,0)</f>
        <v>0</v>
      </c>
      <c r="I70" s="554"/>
    </row>
    <row r="71" spans="1:14" ht="15" customHeight="1" thickBot="1">
      <c r="A71" s="10">
        <v>0</v>
      </c>
      <c r="B71" s="7" t="s">
        <v>477</v>
      </c>
      <c r="C71" s="24" t="s">
        <v>157</v>
      </c>
      <c r="D71" s="43"/>
      <c r="E71" s="494" t="s">
        <v>153</v>
      </c>
      <c r="F71" s="245">
        <f>K71</f>
        <v>30</v>
      </c>
      <c r="G71" s="54">
        <v>60</v>
      </c>
      <c r="H71" s="12">
        <f t="shared" si="2"/>
        <v>1800</v>
      </c>
      <c r="I71" s="122"/>
      <c r="J71" s="123" t="s">
        <v>298</v>
      </c>
      <c r="K71" s="243">
        <f>K69</f>
        <v>30</v>
      </c>
      <c r="L71" s="236"/>
      <c r="M71" s="238"/>
      <c r="N71" s="94"/>
    </row>
    <row r="72" spans="1:14" ht="15" customHeight="1" thickBot="1">
      <c r="A72" s="229">
        <v>1</v>
      </c>
      <c r="B72" s="7" t="s">
        <v>291</v>
      </c>
      <c r="C72" s="24" t="s">
        <v>149</v>
      </c>
      <c r="D72" s="43"/>
      <c r="E72" s="494" t="s">
        <v>110</v>
      </c>
      <c r="F72" s="246">
        <f>IF(A72=1,F71,0)</f>
        <v>30</v>
      </c>
      <c r="G72" s="54">
        <v>35</v>
      </c>
      <c r="H72" s="12">
        <f t="shared" si="2"/>
        <v>1050</v>
      </c>
      <c r="I72" s="554"/>
    </row>
    <row r="73" spans="1:14" ht="15" customHeight="1" thickBot="1">
      <c r="A73" s="229">
        <v>1</v>
      </c>
      <c r="B73" s="7" t="s">
        <v>478</v>
      </c>
      <c r="C73" s="24" t="s">
        <v>157</v>
      </c>
      <c r="D73" s="43"/>
      <c r="E73" s="494" t="s">
        <v>110</v>
      </c>
      <c r="F73" s="246">
        <f>IF(A73=1,H17,0)</f>
        <v>250</v>
      </c>
      <c r="G73" s="54">
        <v>25</v>
      </c>
      <c r="H73" s="12">
        <f t="shared" si="2"/>
        <v>6250</v>
      </c>
      <c r="I73" s="554"/>
    </row>
    <row r="74" spans="1:14" ht="15" customHeight="1" thickBot="1">
      <c r="A74" s="229">
        <v>1</v>
      </c>
      <c r="B74" s="7" t="s">
        <v>482</v>
      </c>
      <c r="C74" s="563">
        <v>15</v>
      </c>
      <c r="D74" s="285">
        <f>IF(A74=1,+D11,0)</f>
        <v>100</v>
      </c>
      <c r="E74" s="494" t="s">
        <v>110</v>
      </c>
      <c r="F74" s="246">
        <f>+D74</f>
        <v>100</v>
      </c>
      <c r="G74" s="533">
        <f>+IF(C74=13,40,-13+C74*0.01*120+40)</f>
        <v>45</v>
      </c>
      <c r="H74" s="12">
        <f t="shared" si="2"/>
        <v>4500</v>
      </c>
      <c r="I74" s="554"/>
    </row>
    <row r="75" spans="1:14" ht="15" customHeight="1" thickBot="1">
      <c r="A75" s="229"/>
      <c r="B75" s="7" t="s">
        <v>483</v>
      </c>
      <c r="C75" s="561"/>
      <c r="D75" s="170">
        <f>IF(A75=1,+D11,0)</f>
        <v>0</v>
      </c>
      <c r="E75" s="496" t="s">
        <v>110</v>
      </c>
      <c r="F75" s="246">
        <f>+D75</f>
        <v>0</v>
      </c>
      <c r="G75" s="533">
        <f>+IF(C75=13,60,-13+C75*0.01*120+60)</f>
        <v>47</v>
      </c>
      <c r="H75" s="12">
        <f t="shared" si="2"/>
        <v>0</v>
      </c>
      <c r="I75" s="554"/>
    </row>
    <row r="76" spans="1:14" ht="15" customHeight="1" thickBot="1">
      <c r="A76" s="229"/>
      <c r="B76" s="7" t="s">
        <v>171</v>
      </c>
      <c r="C76" s="561"/>
      <c r="D76" s="170">
        <f>IF(A76=1,+H11,0)</f>
        <v>0</v>
      </c>
      <c r="E76" s="496" t="s">
        <v>110</v>
      </c>
      <c r="F76" s="246">
        <f>+D76</f>
        <v>0</v>
      </c>
      <c r="G76" s="533">
        <f>+IF(C76=20,100,-20+C76*0.01*120+100)</f>
        <v>80</v>
      </c>
      <c r="H76" s="12">
        <f t="shared" si="2"/>
        <v>0</v>
      </c>
      <c r="I76" s="554"/>
    </row>
    <row r="77" spans="1:14" ht="15" customHeight="1" thickBot="1">
      <c r="A77" s="10">
        <v>0</v>
      </c>
      <c r="B77" s="52" t="s">
        <v>174</v>
      </c>
      <c r="C77" s="24" t="s">
        <v>303</v>
      </c>
      <c r="D77" s="43"/>
      <c r="E77" s="494" t="s">
        <v>153</v>
      </c>
      <c r="F77" s="246">
        <f>IF(A76=1,(F76/25)+(F76/25/3*2.8),IF(A76=0,0))</f>
        <v>0</v>
      </c>
      <c r="G77" s="54">
        <v>100</v>
      </c>
      <c r="H77" s="12">
        <f t="shared" si="2"/>
        <v>0</v>
      </c>
      <c r="I77" s="554"/>
    </row>
    <row r="78" spans="1:14" ht="15" customHeight="1" thickBot="1">
      <c r="A78" s="10">
        <v>0</v>
      </c>
      <c r="B78" s="52" t="s">
        <v>487</v>
      </c>
      <c r="C78" s="24" t="s">
        <v>486</v>
      </c>
      <c r="D78" s="43"/>
      <c r="E78" s="500" t="s">
        <v>110</v>
      </c>
      <c r="F78" s="248"/>
      <c r="G78" s="54">
        <v>180</v>
      </c>
      <c r="H78" s="171">
        <f t="shared" si="2"/>
        <v>0</v>
      </c>
      <c r="I78" s="554"/>
    </row>
    <row r="79" spans="1:14" ht="15" customHeight="1">
      <c r="A79" s="229"/>
      <c r="B79" s="178" t="s">
        <v>172</v>
      </c>
      <c r="C79" s="555" t="s">
        <v>489</v>
      </c>
      <c r="D79" s="177"/>
      <c r="E79" s="501" t="s">
        <v>110</v>
      </c>
      <c r="F79" s="310">
        <f>+IF(A79=1,H11,0)</f>
        <v>0</v>
      </c>
      <c r="G79" s="345">
        <v>75</v>
      </c>
      <c r="H79" s="198"/>
      <c r="I79" s="554"/>
    </row>
    <row r="80" spans="1:14" ht="15" customHeight="1" thickBot="1">
      <c r="A80" s="199">
        <v>0</v>
      </c>
      <c r="B80" s="200" t="s">
        <v>174</v>
      </c>
      <c r="C80" s="564" t="s">
        <v>299</v>
      </c>
      <c r="D80" s="201"/>
      <c r="E80" s="502" t="s">
        <v>153</v>
      </c>
      <c r="F80" s="311">
        <f>IF(A79=1,F79/25,IF(A79=0,0))</f>
        <v>0</v>
      </c>
      <c r="G80" s="534">
        <v>110</v>
      </c>
      <c r="H80" s="202"/>
      <c r="I80" s="554"/>
    </row>
    <row r="81" spans="1:13" ht="15" customHeight="1">
      <c r="A81" s="229"/>
      <c r="B81" s="178" t="s">
        <v>488</v>
      </c>
      <c r="C81" s="555" t="s">
        <v>490</v>
      </c>
      <c r="D81" s="177"/>
      <c r="E81" s="501" t="s">
        <v>110</v>
      </c>
      <c r="F81" s="310">
        <f>+IF(A81=1,H11,0)</f>
        <v>0</v>
      </c>
      <c r="G81" s="345">
        <v>85</v>
      </c>
      <c r="H81" s="198"/>
      <c r="I81" s="554"/>
    </row>
    <row r="82" spans="1:13" ht="15" customHeight="1" thickBot="1">
      <c r="A82" s="199">
        <v>0</v>
      </c>
      <c r="B82" s="200" t="s">
        <v>174</v>
      </c>
      <c r="C82" s="564" t="s">
        <v>299</v>
      </c>
      <c r="D82" s="201"/>
      <c r="E82" s="502" t="s">
        <v>153</v>
      </c>
      <c r="F82" s="311">
        <f>IF(A81=1,F81/25,IF(A81=0,0))</f>
        <v>0</v>
      </c>
      <c r="G82" s="534">
        <v>110</v>
      </c>
      <c r="H82" s="202"/>
      <c r="I82" s="554"/>
    </row>
    <row r="83" spans="1:13" ht="15" customHeight="1">
      <c r="A83" s="229"/>
      <c r="B83" s="7" t="s">
        <v>173</v>
      </c>
      <c r="C83" s="24" t="s">
        <v>150</v>
      </c>
      <c r="D83" s="43"/>
      <c r="E83" s="503" t="s">
        <v>110</v>
      </c>
      <c r="F83" s="310">
        <f>+IF(A83=1,H11,0)</f>
        <v>0</v>
      </c>
      <c r="G83" s="54">
        <v>250</v>
      </c>
      <c r="H83" s="197">
        <f t="shared" si="2"/>
        <v>0</v>
      </c>
      <c r="I83" s="554"/>
    </row>
    <row r="84" spans="1:13" ht="15" customHeight="1" thickBot="1">
      <c r="A84" s="206">
        <v>0</v>
      </c>
      <c r="B84" s="52" t="s">
        <v>174</v>
      </c>
      <c r="C84" s="24" t="s">
        <v>175</v>
      </c>
      <c r="D84" s="43"/>
      <c r="E84" s="500" t="s">
        <v>153</v>
      </c>
      <c r="F84" s="314">
        <f>IF(A83=1,F83/50,IF(A83=0,0))</f>
        <v>0</v>
      </c>
      <c r="G84" s="54">
        <v>110</v>
      </c>
      <c r="H84" s="171">
        <f t="shared" si="2"/>
        <v>0</v>
      </c>
      <c r="I84" s="554"/>
      <c r="K84" s="5" t="s">
        <v>379</v>
      </c>
      <c r="L84" s="5" t="s">
        <v>480</v>
      </c>
      <c r="M84" s="5" t="s">
        <v>492</v>
      </c>
    </row>
    <row r="85" spans="1:13" ht="15" customHeight="1">
      <c r="A85" s="229">
        <v>1</v>
      </c>
      <c r="B85" s="178" t="s">
        <v>491</v>
      </c>
      <c r="C85" s="555"/>
      <c r="D85" s="177"/>
      <c r="E85" s="501" t="s">
        <v>110</v>
      </c>
      <c r="F85" s="328">
        <f>IF(A85=1,+I97,0)</f>
        <v>65</v>
      </c>
      <c r="G85" s="345">
        <v>60</v>
      </c>
      <c r="H85" s="315">
        <f>F85*G85</f>
        <v>3900</v>
      </c>
      <c r="I85" s="313"/>
      <c r="J85" s="192" t="s">
        <v>298</v>
      </c>
      <c r="K85" s="236">
        <v>30</v>
      </c>
      <c r="L85" s="237">
        <v>3</v>
      </c>
      <c r="M85" s="238">
        <v>-25</v>
      </c>
    </row>
    <row r="86" spans="1:13" ht="15" customHeight="1">
      <c r="A86" s="229"/>
      <c r="B86" s="7" t="s">
        <v>302</v>
      </c>
      <c r="C86" s="24"/>
      <c r="D86" s="43"/>
      <c r="E86" s="503" t="s">
        <v>110</v>
      </c>
      <c r="F86" s="329">
        <f>IF(A86=1,+I97,0)</f>
        <v>0</v>
      </c>
      <c r="G86" s="54">
        <v>100</v>
      </c>
      <c r="H86" s="316">
        <f>F86*G86</f>
        <v>0</v>
      </c>
      <c r="I86" s="312"/>
      <c r="J86" s="192" t="s">
        <v>298</v>
      </c>
      <c r="K86" s="236"/>
      <c r="L86" s="237"/>
      <c r="M86" s="238"/>
    </row>
    <row r="87" spans="1:13" ht="15" customHeight="1">
      <c r="A87" s="229"/>
      <c r="B87" s="7" t="s">
        <v>301</v>
      </c>
      <c r="C87" s="24"/>
      <c r="D87" s="43"/>
      <c r="E87" s="503" t="s">
        <v>110</v>
      </c>
      <c r="F87" s="329">
        <f>IF(A87=1,+I97,0)</f>
        <v>0</v>
      </c>
      <c r="G87" s="54">
        <v>110</v>
      </c>
      <c r="H87" s="316">
        <f t="shared" si="2"/>
        <v>0</v>
      </c>
      <c r="I87" s="312"/>
      <c r="J87" s="192" t="s">
        <v>298</v>
      </c>
      <c r="K87" s="236"/>
      <c r="L87" s="237"/>
      <c r="M87" s="238"/>
    </row>
    <row r="88" spans="1:13" ht="15" customHeight="1" thickBot="1">
      <c r="A88" s="229"/>
      <c r="B88" s="7" t="s">
        <v>300</v>
      </c>
      <c r="C88" s="24"/>
      <c r="D88" s="43"/>
      <c r="E88" s="494" t="s">
        <v>110</v>
      </c>
      <c r="F88" s="330">
        <f>IF(A88=1,+I97,0)</f>
        <v>0</v>
      </c>
      <c r="G88" s="54">
        <v>120</v>
      </c>
      <c r="H88" s="317">
        <f>F88*G88</f>
        <v>0</v>
      </c>
      <c r="I88" s="313"/>
      <c r="J88" s="192" t="s">
        <v>298</v>
      </c>
      <c r="K88" s="236"/>
      <c r="L88" s="237"/>
      <c r="M88" s="238"/>
    </row>
    <row r="89" spans="1:13" ht="15" customHeight="1">
      <c r="A89" s="229"/>
      <c r="B89" s="178" t="s">
        <v>158</v>
      </c>
      <c r="C89" s="555"/>
      <c r="D89" s="177"/>
      <c r="E89" s="501" t="s">
        <v>110</v>
      </c>
      <c r="F89" s="331">
        <f>IF(A89=1,+I97,0)</f>
        <v>0</v>
      </c>
      <c r="G89" s="345">
        <v>70</v>
      </c>
      <c r="H89" s="315">
        <f t="shared" si="2"/>
        <v>0</v>
      </c>
      <c r="I89" s="313"/>
      <c r="J89" s="192" t="s">
        <v>298</v>
      </c>
      <c r="K89" s="236"/>
      <c r="L89" s="237"/>
      <c r="M89" s="238"/>
    </row>
    <row r="90" spans="1:13" ht="15" customHeight="1">
      <c r="A90" s="229"/>
      <c r="B90" s="7" t="s">
        <v>159</v>
      </c>
      <c r="C90" s="24"/>
      <c r="D90" s="43"/>
      <c r="E90" s="494" t="s">
        <v>110</v>
      </c>
      <c r="F90" s="329">
        <f>IF(A90=1,+I97,0)</f>
        <v>0</v>
      </c>
      <c r="G90" s="54">
        <v>100</v>
      </c>
      <c r="H90" s="317">
        <f t="shared" si="2"/>
        <v>0</v>
      </c>
      <c r="I90" s="313"/>
      <c r="J90" s="192" t="s">
        <v>298</v>
      </c>
      <c r="K90" s="236"/>
      <c r="L90" s="237"/>
      <c r="M90" s="238"/>
    </row>
    <row r="91" spans="1:13" ht="15" customHeight="1">
      <c r="A91" s="229"/>
      <c r="B91" s="7" t="s">
        <v>160</v>
      </c>
      <c r="C91" s="24"/>
      <c r="D91" s="43"/>
      <c r="E91" s="494" t="s">
        <v>110</v>
      </c>
      <c r="F91" s="329">
        <f>IF(A91=1,+I97,0)</f>
        <v>0</v>
      </c>
      <c r="G91" s="54">
        <v>130</v>
      </c>
      <c r="H91" s="317">
        <f t="shared" si="2"/>
        <v>0</v>
      </c>
      <c r="I91" s="313"/>
      <c r="J91" s="192" t="s">
        <v>298</v>
      </c>
      <c r="K91" s="236"/>
      <c r="L91" s="237"/>
      <c r="M91" s="238"/>
    </row>
    <row r="92" spans="1:13" ht="15" customHeight="1" thickBot="1">
      <c r="A92" s="229"/>
      <c r="B92" s="186" t="s">
        <v>161</v>
      </c>
      <c r="C92" s="564"/>
      <c r="D92" s="201"/>
      <c r="E92" s="502" t="s">
        <v>110</v>
      </c>
      <c r="F92" s="330">
        <f>IF(A92=1,+I97,0)</f>
        <v>0</v>
      </c>
      <c r="G92" s="534">
        <v>160</v>
      </c>
      <c r="H92" s="318">
        <f t="shared" si="2"/>
        <v>0</v>
      </c>
      <c r="I92" s="313"/>
      <c r="J92" s="192" t="s">
        <v>298</v>
      </c>
      <c r="K92" s="236"/>
      <c r="L92" s="237"/>
      <c r="M92" s="238"/>
    </row>
    <row r="93" spans="1:13" ht="15" customHeight="1">
      <c r="A93" s="229"/>
      <c r="B93" s="178" t="s">
        <v>8</v>
      </c>
      <c r="C93" s="555"/>
      <c r="D93" s="177"/>
      <c r="E93" s="501" t="s">
        <v>110</v>
      </c>
      <c r="F93" s="331">
        <f>IF(A93=1,+I97,0)</f>
        <v>0</v>
      </c>
      <c r="G93" s="345">
        <v>120</v>
      </c>
      <c r="H93" s="315">
        <f t="shared" si="2"/>
        <v>0</v>
      </c>
      <c r="I93" s="313"/>
      <c r="J93" s="192" t="s">
        <v>298</v>
      </c>
      <c r="K93" s="236"/>
      <c r="L93" s="237"/>
      <c r="M93" s="238"/>
    </row>
    <row r="94" spans="1:13" ht="15" customHeight="1">
      <c r="A94" s="229"/>
      <c r="B94" s="7" t="s">
        <v>9</v>
      </c>
      <c r="C94" s="24"/>
      <c r="D94" s="43"/>
      <c r="E94" s="494" t="s">
        <v>110</v>
      </c>
      <c r="F94" s="329">
        <f>IF(A94=1,+I97,0)</f>
        <v>0</v>
      </c>
      <c r="G94" s="54">
        <v>155</v>
      </c>
      <c r="H94" s="317">
        <f t="shared" si="2"/>
        <v>0</v>
      </c>
      <c r="I94" s="313"/>
      <c r="J94" s="192" t="s">
        <v>298</v>
      </c>
      <c r="K94" s="236"/>
      <c r="L94" s="237"/>
      <c r="M94" s="238"/>
    </row>
    <row r="95" spans="1:13" ht="15" customHeight="1">
      <c r="A95" s="229"/>
      <c r="B95" s="7" t="s">
        <v>10</v>
      </c>
      <c r="C95" s="24"/>
      <c r="D95" s="43"/>
      <c r="E95" s="494" t="s">
        <v>110</v>
      </c>
      <c r="F95" s="329">
        <f>IF(A95=1,+I97,0)</f>
        <v>0</v>
      </c>
      <c r="G95" s="54">
        <v>175</v>
      </c>
      <c r="H95" s="317">
        <f t="shared" si="2"/>
        <v>0</v>
      </c>
      <c r="I95" s="313"/>
      <c r="J95" s="192" t="s">
        <v>298</v>
      </c>
      <c r="K95" s="236"/>
      <c r="L95" s="237"/>
      <c r="M95" s="238"/>
    </row>
    <row r="96" spans="1:13" ht="15" customHeight="1" thickBot="1">
      <c r="A96" s="229"/>
      <c r="B96" s="7" t="s">
        <v>11</v>
      </c>
      <c r="C96" s="24"/>
      <c r="D96" s="43"/>
      <c r="E96" s="500" t="s">
        <v>110</v>
      </c>
      <c r="F96" s="332">
        <f>IF(A96=1,+I97,0)</f>
        <v>0</v>
      </c>
      <c r="G96" s="54">
        <v>175</v>
      </c>
      <c r="H96" s="319">
        <f t="shared" si="2"/>
        <v>0</v>
      </c>
      <c r="I96" s="313"/>
      <c r="J96" s="192" t="s">
        <v>298</v>
      </c>
      <c r="K96" s="236"/>
      <c r="L96" s="237"/>
      <c r="M96" s="238"/>
    </row>
    <row r="97" spans="1:12" ht="15" customHeight="1" thickBot="1">
      <c r="A97" s="320"/>
      <c r="B97" s="322" t="s">
        <v>408</v>
      </c>
      <c r="C97" s="555"/>
      <c r="D97" s="323"/>
      <c r="E97" s="501" t="s">
        <v>110</v>
      </c>
      <c r="F97" s="326">
        <f>IF(A97=1,I97,0)</f>
        <v>0</v>
      </c>
      <c r="G97" s="535">
        <v>30</v>
      </c>
      <c r="H97" s="315">
        <f t="shared" si="2"/>
        <v>0</v>
      </c>
      <c r="I97" s="628">
        <f>(K85*L85+M85)+(K86*L86+M86)+(K87*L87+M87)+(K88+L88+M88)+(K89+L89+M89)+(K90+L90+M90)+(K91+L91+M91)+(K93+L93+M93)+(K94+L94+M94)+(K95+L95+M95)+(K96+L96+M96)</f>
        <v>65</v>
      </c>
      <c r="J97" s="629"/>
      <c r="L97" s="58"/>
    </row>
    <row r="98" spans="1:12" ht="15" customHeight="1" thickBot="1">
      <c r="A98" s="321"/>
      <c r="B98" s="324" t="s">
        <v>162</v>
      </c>
      <c r="C98" s="564"/>
      <c r="D98" s="325"/>
      <c r="E98" s="502" t="s">
        <v>110</v>
      </c>
      <c r="F98" s="327">
        <f>IF(A98=1,I97,0)</f>
        <v>0</v>
      </c>
      <c r="G98" s="536">
        <v>40</v>
      </c>
      <c r="H98" s="318">
        <f t="shared" si="2"/>
        <v>0</v>
      </c>
    </row>
    <row r="99" spans="1:12" ht="15" customHeight="1" thickBot="1">
      <c r="A99" s="337">
        <v>0</v>
      </c>
      <c r="B99" s="59" t="s">
        <v>292</v>
      </c>
      <c r="C99" s="565"/>
      <c r="D99" s="338"/>
      <c r="E99" s="504" t="s">
        <v>153</v>
      </c>
      <c r="F99" s="339">
        <f>C99*D99</f>
        <v>0</v>
      </c>
      <c r="G99" s="54">
        <v>350</v>
      </c>
      <c r="H99" s="205">
        <f t="shared" si="2"/>
        <v>0</v>
      </c>
    </row>
    <row r="100" spans="1:12" ht="15" customHeight="1">
      <c r="A100" s="340">
        <v>0</v>
      </c>
      <c r="B100" s="341" t="s">
        <v>494</v>
      </c>
      <c r="C100" s="566"/>
      <c r="D100" s="342"/>
      <c r="E100" s="501" t="s">
        <v>110</v>
      </c>
      <c r="F100" s="328"/>
      <c r="G100" s="345">
        <v>120</v>
      </c>
      <c r="H100" s="315">
        <f>F100*G100</f>
        <v>0</v>
      </c>
    </row>
    <row r="101" spans="1:12" ht="15" customHeight="1" thickBot="1">
      <c r="A101" s="204"/>
      <c r="B101" s="200" t="s">
        <v>493</v>
      </c>
      <c r="C101" s="567"/>
      <c r="D101" s="343"/>
      <c r="E101" s="502" t="s">
        <v>110</v>
      </c>
      <c r="F101" s="332"/>
      <c r="G101" s="534">
        <v>70</v>
      </c>
      <c r="H101" s="318">
        <f>F101*G101</f>
        <v>0</v>
      </c>
    </row>
    <row r="102" spans="1:12" ht="10.5" customHeight="1">
      <c r="A102" s="60"/>
      <c r="B102" s="7"/>
      <c r="C102" s="24"/>
      <c r="D102" s="43"/>
      <c r="E102" s="498"/>
      <c r="F102" s="250"/>
      <c r="G102" s="54"/>
      <c r="H102" s="55"/>
    </row>
    <row r="103" spans="1:12" ht="15" customHeight="1" thickBot="1">
      <c r="A103" s="60"/>
      <c r="B103" s="56" t="s">
        <v>197</v>
      </c>
      <c r="C103" s="24"/>
      <c r="D103" s="43"/>
      <c r="E103" s="498"/>
      <c r="F103" s="250"/>
      <c r="G103" s="54"/>
      <c r="H103" s="55"/>
    </row>
    <row r="104" spans="1:12" ht="15" customHeight="1" thickBot="1">
      <c r="A104" s="10">
        <v>0</v>
      </c>
      <c r="B104" s="59" t="s">
        <v>495</v>
      </c>
      <c r="C104" s="24" t="s">
        <v>422</v>
      </c>
      <c r="D104" s="43"/>
      <c r="E104" s="494" t="s">
        <v>110</v>
      </c>
      <c r="F104" s="344"/>
      <c r="G104" s="54">
        <v>75</v>
      </c>
      <c r="H104" s="12">
        <f t="shared" ref="H104:H112" si="3">F104*G104</f>
        <v>0</v>
      </c>
    </row>
    <row r="105" spans="1:12" ht="15" customHeight="1" thickBot="1">
      <c r="A105" s="10">
        <v>0</v>
      </c>
      <c r="B105" s="59" t="s">
        <v>293</v>
      </c>
      <c r="C105" s="24" t="s">
        <v>150</v>
      </c>
      <c r="D105" s="43"/>
      <c r="E105" s="494" t="s">
        <v>110</v>
      </c>
      <c r="F105" s="344"/>
      <c r="G105" s="54">
        <v>40</v>
      </c>
      <c r="H105" s="12">
        <f t="shared" si="3"/>
        <v>0</v>
      </c>
    </row>
    <row r="106" spans="1:12" ht="15" customHeight="1" thickBot="1">
      <c r="A106" s="10">
        <v>0</v>
      </c>
      <c r="B106" s="59" t="s">
        <v>418</v>
      </c>
      <c r="C106" s="24" t="s">
        <v>419</v>
      </c>
      <c r="D106" s="43"/>
      <c r="E106" s="494" t="s">
        <v>110</v>
      </c>
      <c r="F106" s="344"/>
      <c r="G106" s="54">
        <v>10</v>
      </c>
      <c r="H106" s="12">
        <f t="shared" si="3"/>
        <v>0</v>
      </c>
    </row>
    <row r="107" spans="1:12" ht="15" customHeight="1" thickBot="1">
      <c r="A107" s="10">
        <v>0</v>
      </c>
      <c r="B107" s="59" t="s">
        <v>200</v>
      </c>
      <c r="C107" s="24" t="s">
        <v>420</v>
      </c>
      <c r="D107" s="43"/>
      <c r="E107" s="494" t="s">
        <v>110</v>
      </c>
      <c r="F107" s="344"/>
      <c r="G107" s="54">
        <v>40</v>
      </c>
      <c r="H107" s="12">
        <f t="shared" si="3"/>
        <v>0</v>
      </c>
    </row>
    <row r="108" spans="1:12" ht="15" customHeight="1" thickBot="1">
      <c r="A108" s="10">
        <v>0</v>
      </c>
      <c r="B108" s="59" t="s">
        <v>201</v>
      </c>
      <c r="C108" s="24" t="s">
        <v>421</v>
      </c>
      <c r="D108" s="43"/>
      <c r="E108" s="494" t="s">
        <v>154</v>
      </c>
      <c r="F108" s="344"/>
      <c r="G108" s="54">
        <v>60</v>
      </c>
      <c r="H108" s="12">
        <f t="shared" si="3"/>
        <v>0</v>
      </c>
    </row>
    <row r="109" spans="1:12" ht="15" customHeight="1" thickBot="1">
      <c r="A109" s="10">
        <v>0</v>
      </c>
      <c r="B109" s="59" t="s">
        <v>294</v>
      </c>
      <c r="C109" s="24" t="s">
        <v>198</v>
      </c>
      <c r="D109" s="43"/>
      <c r="E109" s="494" t="s">
        <v>110</v>
      </c>
      <c r="F109" s="344"/>
      <c r="G109" s="54">
        <v>10</v>
      </c>
      <c r="H109" s="12">
        <f t="shared" si="3"/>
        <v>0</v>
      </c>
    </row>
    <row r="110" spans="1:12" ht="15" customHeight="1" thickBot="1">
      <c r="A110" s="10">
        <v>0</v>
      </c>
      <c r="B110" s="59" t="s">
        <v>203</v>
      </c>
      <c r="C110" s="24" t="s">
        <v>202</v>
      </c>
      <c r="D110" s="43"/>
      <c r="E110" s="494" t="s">
        <v>154</v>
      </c>
      <c r="F110" s="344"/>
      <c r="G110" s="54">
        <v>35</v>
      </c>
      <c r="H110" s="12">
        <f t="shared" si="3"/>
        <v>0</v>
      </c>
    </row>
    <row r="111" spans="1:12" ht="15" customHeight="1" thickBot="1">
      <c r="A111" s="10">
        <v>0</v>
      </c>
      <c r="B111" s="59" t="s">
        <v>204</v>
      </c>
      <c r="C111" s="24" t="s">
        <v>150</v>
      </c>
      <c r="D111" s="43"/>
      <c r="E111" s="494" t="s">
        <v>110</v>
      </c>
      <c r="F111" s="344"/>
      <c r="G111" s="54">
        <v>5</v>
      </c>
      <c r="H111" s="12">
        <f t="shared" si="3"/>
        <v>0</v>
      </c>
    </row>
    <row r="112" spans="1:12" ht="15" customHeight="1" thickBot="1">
      <c r="A112" s="10">
        <v>0</v>
      </c>
      <c r="B112" s="59" t="s">
        <v>423</v>
      </c>
      <c r="C112" s="24"/>
      <c r="D112" s="43"/>
      <c r="E112" s="494" t="s">
        <v>153</v>
      </c>
      <c r="F112" s="344"/>
      <c r="G112" s="54">
        <v>55</v>
      </c>
      <c r="H112" s="12">
        <f t="shared" si="3"/>
        <v>0</v>
      </c>
    </row>
    <row r="113" spans="1:30" ht="15" customHeight="1" thickBot="1">
      <c r="A113" s="10">
        <v>0</v>
      </c>
      <c r="B113" s="59" t="s">
        <v>496</v>
      </c>
      <c r="C113" s="24" t="s">
        <v>499</v>
      </c>
      <c r="D113" s="43"/>
      <c r="E113" s="494" t="s">
        <v>110</v>
      </c>
      <c r="F113" s="344"/>
      <c r="G113" s="54">
        <v>15</v>
      </c>
      <c r="H113" s="12"/>
    </row>
    <row r="114" spans="1:30" ht="15" customHeight="1" thickBot="1">
      <c r="A114" s="10">
        <v>0</v>
      </c>
      <c r="B114" s="59" t="s">
        <v>497</v>
      </c>
      <c r="C114" s="24" t="s">
        <v>499</v>
      </c>
      <c r="D114" s="43"/>
      <c r="E114" s="494" t="s">
        <v>110</v>
      </c>
      <c r="F114" s="344"/>
      <c r="G114" s="54">
        <v>10</v>
      </c>
      <c r="H114" s="12"/>
    </row>
    <row r="115" spans="1:30" ht="15" customHeight="1" thickBot="1">
      <c r="A115" s="10">
        <v>0</v>
      </c>
      <c r="B115" s="59" t="s">
        <v>498</v>
      </c>
      <c r="C115" s="24" t="s">
        <v>499</v>
      </c>
      <c r="D115" s="43"/>
      <c r="E115" s="494" t="s">
        <v>110</v>
      </c>
      <c r="F115" s="344"/>
      <c r="G115" s="54">
        <v>12</v>
      </c>
      <c r="H115" s="12"/>
    </row>
    <row r="116" spans="1:30" ht="12.75" customHeight="1" thickBot="1">
      <c r="A116" s="6"/>
      <c r="B116" s="7"/>
      <c r="C116" s="7"/>
      <c r="D116" s="7"/>
      <c r="E116" s="7"/>
      <c r="F116" s="250"/>
      <c r="G116" s="54">
        <v>0</v>
      </c>
      <c r="H116" s="55"/>
    </row>
    <row r="117" spans="1:30" ht="17.25" customHeight="1" thickBot="1">
      <c r="A117" s="6"/>
      <c r="B117" s="613" t="s">
        <v>12</v>
      </c>
      <c r="C117" s="614"/>
      <c r="D117" s="614"/>
      <c r="E117" s="614"/>
      <c r="F117" s="614"/>
      <c r="G117" s="614"/>
      <c r="H117" s="165">
        <f>SUM(H118:H139)</f>
        <v>8000</v>
      </c>
    </row>
    <row r="118" spans="1:30" ht="12.75" customHeight="1" thickBot="1">
      <c r="A118" s="6"/>
      <c r="B118" s="7"/>
      <c r="C118" s="7"/>
      <c r="D118" s="7"/>
      <c r="E118" s="7"/>
      <c r="F118" s="250"/>
      <c r="G118" s="54"/>
      <c r="H118" s="55"/>
    </row>
    <row r="119" spans="1:30" ht="12.75" customHeight="1" thickBot="1">
      <c r="A119" s="203"/>
      <c r="B119" s="178" t="s">
        <v>13</v>
      </c>
      <c r="C119" s="178"/>
      <c r="D119" s="178"/>
      <c r="E119" s="493">
        <v>2</v>
      </c>
      <c r="F119" s="352" t="s">
        <v>501</v>
      </c>
      <c r="G119" s="345"/>
      <c r="H119" s="346"/>
      <c r="I119" s="615" t="s">
        <v>500</v>
      </c>
    </row>
    <row r="120" spans="1:30" ht="12.75" customHeight="1" thickBot="1">
      <c r="A120" s="349">
        <v>1</v>
      </c>
      <c r="B120" s="43" t="s">
        <v>14</v>
      </c>
      <c r="C120" s="7"/>
      <c r="D120" s="7"/>
      <c r="E120" s="505">
        <v>40</v>
      </c>
      <c r="F120" s="351">
        <v>100</v>
      </c>
      <c r="G120" s="62">
        <f t="shared" ref="G120:G125" si="4">IF(A120=1,(E120*F120),IF(A120=0,0))</f>
        <v>4000</v>
      </c>
      <c r="H120" s="317">
        <f>+G120*E119</f>
        <v>8000</v>
      </c>
      <c r="I120" s="616"/>
      <c r="W120" s="158"/>
      <c r="X120" s="626" t="s">
        <v>368</v>
      </c>
      <c r="Y120" s="626"/>
      <c r="Z120" s="626"/>
      <c r="AA120" s="626"/>
      <c r="AB120" s="626"/>
      <c r="AC120" s="627"/>
      <c r="AD120" s="159" t="s">
        <v>369</v>
      </c>
    </row>
    <row r="121" spans="1:30" ht="12.75" customHeight="1" thickBot="1">
      <c r="A121" s="349">
        <v>0</v>
      </c>
      <c r="B121" s="43" t="s">
        <v>15</v>
      </c>
      <c r="C121" s="7"/>
      <c r="D121" s="7"/>
      <c r="E121" s="506">
        <v>50</v>
      </c>
      <c r="F121" s="347"/>
      <c r="G121" s="62">
        <f t="shared" si="4"/>
        <v>0</v>
      </c>
      <c r="H121" s="317">
        <f>+G121*E119</f>
        <v>0</v>
      </c>
      <c r="I121" s="616"/>
      <c r="W121" s="160" t="s">
        <v>370</v>
      </c>
      <c r="X121" s="160" t="s">
        <v>371</v>
      </c>
      <c r="Y121" s="160" t="s">
        <v>372</v>
      </c>
      <c r="Z121" s="160" t="s">
        <v>373</v>
      </c>
      <c r="AA121" s="160" t="s">
        <v>374</v>
      </c>
      <c r="AB121" s="160" t="s">
        <v>375</v>
      </c>
      <c r="AC121" s="160" t="s">
        <v>376</v>
      </c>
      <c r="AD121" s="160" t="s">
        <v>377</v>
      </c>
    </row>
    <row r="122" spans="1:30" ht="12.75" customHeight="1" thickBot="1">
      <c r="A122" s="349">
        <v>0</v>
      </c>
      <c r="B122" s="43" t="s">
        <v>16</v>
      </c>
      <c r="C122" s="7"/>
      <c r="D122" s="7"/>
      <c r="E122" s="506">
        <v>60</v>
      </c>
      <c r="F122" s="347"/>
      <c r="G122" s="62">
        <f t="shared" si="4"/>
        <v>0</v>
      </c>
      <c r="H122" s="317">
        <f>+G122*E119</f>
        <v>0</v>
      </c>
      <c r="I122" s="616"/>
      <c r="W122" s="161">
        <v>80</v>
      </c>
      <c r="X122" s="162">
        <v>80</v>
      </c>
      <c r="Y122" s="162">
        <v>46</v>
      </c>
      <c r="Z122" s="162">
        <v>3.8</v>
      </c>
      <c r="AA122" s="162">
        <v>5.2</v>
      </c>
      <c r="AB122" s="162">
        <v>5</v>
      </c>
      <c r="AC122" s="162">
        <v>59.6</v>
      </c>
      <c r="AD122" s="162">
        <v>6</v>
      </c>
    </row>
    <row r="123" spans="1:30" ht="12.75" customHeight="1" thickBot="1">
      <c r="A123" s="349">
        <v>0</v>
      </c>
      <c r="B123" s="43" t="s">
        <v>17</v>
      </c>
      <c r="C123" s="7"/>
      <c r="D123" s="7"/>
      <c r="E123" s="506">
        <v>70</v>
      </c>
      <c r="F123" s="347"/>
      <c r="G123" s="62">
        <f t="shared" si="4"/>
        <v>0</v>
      </c>
      <c r="H123" s="317">
        <f>+G123*E119</f>
        <v>0</v>
      </c>
      <c r="I123" s="616"/>
      <c r="W123" s="163">
        <v>100</v>
      </c>
      <c r="X123" s="164">
        <v>100</v>
      </c>
      <c r="Y123" s="164">
        <v>55</v>
      </c>
      <c r="Z123" s="164">
        <v>4.0999999999999996</v>
      </c>
      <c r="AA123" s="164">
        <v>5.7</v>
      </c>
      <c r="AB123" s="164">
        <v>7</v>
      </c>
      <c r="AC123" s="164">
        <v>74.599999999999994</v>
      </c>
      <c r="AD123" s="164">
        <v>8.1</v>
      </c>
    </row>
    <row r="124" spans="1:30" ht="12.75" customHeight="1" thickBot="1">
      <c r="A124" s="349">
        <v>0</v>
      </c>
      <c r="B124" s="43" t="s">
        <v>18</v>
      </c>
      <c r="C124" s="7"/>
      <c r="D124" s="7"/>
      <c r="E124" s="506">
        <v>80</v>
      </c>
      <c r="F124" s="347"/>
      <c r="G124" s="62">
        <f t="shared" si="4"/>
        <v>0</v>
      </c>
      <c r="H124" s="317">
        <f>+G124*E119</f>
        <v>0</v>
      </c>
      <c r="I124" s="616"/>
      <c r="W124" s="161">
        <v>120</v>
      </c>
      <c r="X124" s="162">
        <v>120</v>
      </c>
      <c r="Y124" s="162">
        <v>64</v>
      </c>
      <c r="Z124" s="162">
        <v>4.4000000000000004</v>
      </c>
      <c r="AA124" s="162">
        <v>6.3</v>
      </c>
      <c r="AB124" s="162">
        <v>7</v>
      </c>
      <c r="AC124" s="162">
        <v>93.4</v>
      </c>
      <c r="AD124" s="162">
        <v>10.4</v>
      </c>
    </row>
    <row r="125" spans="1:30" ht="12.75" customHeight="1" thickBot="1">
      <c r="A125" s="350">
        <v>0</v>
      </c>
      <c r="B125" s="201" t="s">
        <v>19</v>
      </c>
      <c r="C125" s="186"/>
      <c r="D125" s="186"/>
      <c r="E125" s="507">
        <v>90</v>
      </c>
      <c r="F125" s="348"/>
      <c r="G125" s="62">
        <f t="shared" si="4"/>
        <v>0</v>
      </c>
      <c r="H125" s="317">
        <f>+G125*E119</f>
        <v>0</v>
      </c>
      <c r="I125" s="617"/>
      <c r="W125" s="163">
        <v>140</v>
      </c>
      <c r="X125" s="164">
        <v>140</v>
      </c>
      <c r="Y125" s="164">
        <v>73</v>
      </c>
      <c r="Z125" s="164">
        <v>4.7</v>
      </c>
      <c r="AA125" s="164">
        <v>6.9</v>
      </c>
      <c r="AB125" s="164">
        <v>7</v>
      </c>
      <c r="AC125" s="164">
        <v>112.2</v>
      </c>
      <c r="AD125" s="164">
        <v>12.9</v>
      </c>
    </row>
    <row r="126" spans="1:30" ht="12.75" customHeight="1" thickBot="1">
      <c r="A126" s="172"/>
      <c r="B126" s="173" t="s">
        <v>382</v>
      </c>
      <c r="C126" s="174" t="s">
        <v>383</v>
      </c>
      <c r="D126" s="174" t="s">
        <v>379</v>
      </c>
      <c r="E126" s="174" t="s">
        <v>384</v>
      </c>
      <c r="F126" s="269"/>
      <c r="G126" s="175"/>
      <c r="H126" s="176"/>
      <c r="I126" s="555"/>
      <c r="J126" s="178"/>
      <c r="K126" s="178" t="s">
        <v>502</v>
      </c>
      <c r="L126" s="178" t="s">
        <v>503</v>
      </c>
      <c r="M126" s="178"/>
      <c r="N126" s="178"/>
      <c r="O126" s="178"/>
      <c r="P126" s="178"/>
      <c r="Q126" s="178"/>
      <c r="R126" s="178"/>
      <c r="S126" s="178"/>
      <c r="T126" s="178"/>
      <c r="U126" s="178"/>
      <c r="V126" s="179"/>
      <c r="W126" s="161">
        <v>160</v>
      </c>
      <c r="X126" s="162">
        <v>160</v>
      </c>
      <c r="Y126" s="162">
        <v>82</v>
      </c>
      <c r="Z126" s="162">
        <v>5</v>
      </c>
      <c r="AA126" s="162">
        <v>7.4</v>
      </c>
      <c r="AB126" s="162">
        <v>9</v>
      </c>
      <c r="AC126" s="162">
        <v>127.2</v>
      </c>
      <c r="AD126" s="162">
        <v>15.8</v>
      </c>
    </row>
    <row r="127" spans="1:30" ht="12.75" customHeight="1" thickBot="1">
      <c r="A127" s="349">
        <v>0</v>
      </c>
      <c r="B127" s="74" t="s">
        <v>380</v>
      </c>
      <c r="C127" s="359"/>
      <c r="D127" s="362">
        <f>+M127</f>
        <v>0</v>
      </c>
      <c r="E127" s="508"/>
      <c r="F127" s="365">
        <f>D127*E127</f>
        <v>0</v>
      </c>
      <c r="G127" s="166">
        <f>IF(A127=1,(E127*F127),IF(A127=0,0))</f>
        <v>0</v>
      </c>
      <c r="H127" s="55"/>
      <c r="I127" s="122"/>
      <c r="J127" s="123" t="s">
        <v>298</v>
      </c>
      <c r="K127" s="353"/>
      <c r="L127" s="354"/>
      <c r="M127" s="167">
        <f>K127*L127</f>
        <v>0</v>
      </c>
      <c r="N127" s="7"/>
      <c r="O127" s="7"/>
      <c r="P127" s="7"/>
      <c r="Q127" s="7"/>
      <c r="R127" s="7"/>
      <c r="S127" s="7"/>
      <c r="T127" s="7"/>
      <c r="U127" s="7"/>
      <c r="V127" s="180"/>
      <c r="W127" s="163">
        <v>180</v>
      </c>
      <c r="X127" s="164">
        <v>180</v>
      </c>
      <c r="Y127" s="164">
        <v>91</v>
      </c>
      <c r="Z127" s="164">
        <v>5.3</v>
      </c>
      <c r="AA127" s="164">
        <v>8</v>
      </c>
      <c r="AB127" s="164">
        <v>9</v>
      </c>
      <c r="AC127" s="164">
        <v>146</v>
      </c>
      <c r="AD127" s="164">
        <v>18.8</v>
      </c>
    </row>
    <row r="128" spans="1:30" ht="12.75" customHeight="1" thickBot="1">
      <c r="A128" s="349">
        <v>0</v>
      </c>
      <c r="B128" s="74" t="s">
        <v>378</v>
      </c>
      <c r="C128" s="360"/>
      <c r="D128" s="363">
        <f>+M128</f>
        <v>0</v>
      </c>
      <c r="E128" s="509"/>
      <c r="F128" s="365">
        <f>D128*E128</f>
        <v>0</v>
      </c>
      <c r="G128" s="166">
        <f>IF(A128=1,(E128*F128),IF(A128=0,0))</f>
        <v>0</v>
      </c>
      <c r="H128" s="55"/>
      <c r="I128" s="122"/>
      <c r="J128" s="123" t="s">
        <v>298</v>
      </c>
      <c r="K128" s="355"/>
      <c r="L128" s="356"/>
      <c r="M128" s="168">
        <f>K128*L128</f>
        <v>0</v>
      </c>
      <c r="N128" s="7"/>
      <c r="O128" s="7"/>
      <c r="P128" s="7"/>
      <c r="Q128" s="7"/>
      <c r="R128" s="7"/>
      <c r="S128" s="7"/>
      <c r="T128" s="7"/>
      <c r="U128" s="7"/>
      <c r="V128" s="180"/>
      <c r="W128" s="161">
        <v>200</v>
      </c>
      <c r="X128" s="162">
        <v>200</v>
      </c>
      <c r="Y128" s="162">
        <v>100</v>
      </c>
      <c r="Z128" s="162">
        <v>5.6</v>
      </c>
      <c r="AA128" s="162">
        <v>8.5</v>
      </c>
      <c r="AB128" s="162">
        <v>12</v>
      </c>
      <c r="AC128" s="162">
        <v>159</v>
      </c>
      <c r="AD128" s="162">
        <v>22.4</v>
      </c>
    </row>
    <row r="129" spans="1:30" ht="12.75" customHeight="1" thickBot="1">
      <c r="A129" s="349">
        <v>0</v>
      </c>
      <c r="B129" s="74" t="s">
        <v>450</v>
      </c>
      <c r="C129" s="360"/>
      <c r="D129" s="363">
        <f>+M129</f>
        <v>0</v>
      </c>
      <c r="E129" s="509"/>
      <c r="F129" s="365">
        <f>D129*E129</f>
        <v>0</v>
      </c>
      <c r="G129" s="166">
        <f>IF(A129=1,(E129*F129),IF(A129=0,0))</f>
        <v>0</v>
      </c>
      <c r="H129" s="55"/>
      <c r="I129" s="122"/>
      <c r="J129" s="123" t="s">
        <v>298</v>
      </c>
      <c r="K129" s="355"/>
      <c r="L129" s="356"/>
      <c r="M129" s="168">
        <f>K129*L129</f>
        <v>0</v>
      </c>
      <c r="N129" s="7"/>
      <c r="O129" s="7"/>
      <c r="P129" s="7"/>
      <c r="Q129" s="7"/>
      <c r="R129" s="7"/>
      <c r="S129" s="7"/>
      <c r="T129" s="7"/>
      <c r="U129" s="7"/>
      <c r="V129" s="180"/>
      <c r="W129" s="163">
        <v>220</v>
      </c>
      <c r="X129" s="164">
        <v>220</v>
      </c>
      <c r="Y129" s="164">
        <v>110</v>
      </c>
      <c r="Z129" s="164">
        <v>5.9</v>
      </c>
      <c r="AA129" s="164">
        <v>9.1999999999999993</v>
      </c>
      <c r="AB129" s="164">
        <v>12</v>
      </c>
      <c r="AC129" s="164">
        <v>177.6</v>
      </c>
      <c r="AD129" s="164">
        <v>26.2</v>
      </c>
    </row>
    <row r="130" spans="1:30" ht="12.75" customHeight="1" thickBot="1">
      <c r="A130" s="350">
        <v>0</v>
      </c>
      <c r="B130" s="181" t="s">
        <v>381</v>
      </c>
      <c r="C130" s="361"/>
      <c r="D130" s="364">
        <f>+M130</f>
        <v>0</v>
      </c>
      <c r="E130" s="510"/>
      <c r="F130" s="366">
        <f>D130*E130</f>
        <v>0</v>
      </c>
      <c r="G130" s="182">
        <f>IF(A130=1,(E130*F130),IF(A130=0,0))</f>
        <v>0</v>
      </c>
      <c r="H130" s="183"/>
      <c r="I130" s="184"/>
      <c r="J130" s="185" t="s">
        <v>298</v>
      </c>
      <c r="K130" s="357"/>
      <c r="L130" s="358"/>
      <c r="M130" s="169">
        <f>K130*L130</f>
        <v>0</v>
      </c>
      <c r="N130" s="186"/>
      <c r="O130" s="186"/>
      <c r="P130" s="186"/>
      <c r="Q130" s="186"/>
      <c r="R130" s="186"/>
      <c r="S130" s="186"/>
      <c r="T130" s="186"/>
      <c r="U130" s="186"/>
      <c r="V130" s="187"/>
      <c r="W130" s="161">
        <v>240</v>
      </c>
      <c r="X130" s="162">
        <v>240</v>
      </c>
      <c r="Y130" s="162">
        <v>120</v>
      </c>
      <c r="Z130" s="162">
        <v>6.2</v>
      </c>
      <c r="AA130" s="162">
        <v>9.8000000000000007</v>
      </c>
      <c r="AB130" s="162">
        <v>15</v>
      </c>
      <c r="AC130" s="162">
        <v>190.4</v>
      </c>
      <c r="AD130" s="162">
        <v>30.7</v>
      </c>
    </row>
    <row r="131" spans="1:30" ht="13.5" customHeight="1" thickBot="1">
      <c r="A131" s="157"/>
      <c r="B131" s="7"/>
      <c r="C131" s="7"/>
      <c r="D131" s="7"/>
      <c r="E131" s="7"/>
      <c r="F131" s="250"/>
      <c r="G131" s="54"/>
      <c r="H131" s="55"/>
      <c r="W131" s="163">
        <v>270</v>
      </c>
      <c r="X131" s="164">
        <v>270</v>
      </c>
      <c r="Y131" s="164">
        <v>135</v>
      </c>
      <c r="Z131" s="164">
        <v>6.6</v>
      </c>
      <c r="AA131" s="164">
        <v>10.199999999999999</v>
      </c>
      <c r="AB131" s="164">
        <v>15</v>
      </c>
      <c r="AC131" s="164">
        <v>219.6</v>
      </c>
      <c r="AD131" s="164">
        <v>36.1</v>
      </c>
    </row>
    <row r="132" spans="1:30" ht="12.75" customHeight="1" thickBot="1">
      <c r="A132" s="6"/>
      <c r="B132" s="7" t="s">
        <v>20</v>
      </c>
      <c r="C132" s="24" t="s">
        <v>424</v>
      </c>
      <c r="D132" s="7"/>
      <c r="E132" s="52" t="s">
        <v>155</v>
      </c>
      <c r="F132" s="245">
        <f>SUM(F127:F130)</f>
        <v>0</v>
      </c>
      <c r="G132" s="54">
        <v>2</v>
      </c>
      <c r="H132" s="12">
        <f>+F132*G132</f>
        <v>0</v>
      </c>
      <c r="W132" s="161">
        <v>300</v>
      </c>
      <c r="X132" s="162">
        <v>300</v>
      </c>
      <c r="Y132" s="162">
        <v>150</v>
      </c>
      <c r="Z132" s="162">
        <v>7.1</v>
      </c>
      <c r="AA132" s="162">
        <v>10.7</v>
      </c>
      <c r="AB132" s="162">
        <v>15</v>
      </c>
      <c r="AC132" s="162">
        <v>248.6</v>
      </c>
      <c r="AD132" s="162">
        <v>42.2</v>
      </c>
    </row>
    <row r="133" spans="1:30" ht="13.5" customHeight="1" thickBot="1">
      <c r="A133" s="6"/>
      <c r="B133" s="7"/>
      <c r="C133" s="24"/>
      <c r="D133" s="7"/>
      <c r="E133" s="7"/>
      <c r="F133" s="250"/>
      <c r="G133" s="54"/>
      <c r="H133" s="55"/>
      <c r="W133" s="163">
        <v>330</v>
      </c>
      <c r="X133" s="164">
        <v>330</v>
      </c>
      <c r="Y133" s="164">
        <v>160</v>
      </c>
      <c r="Z133" s="164">
        <v>7.5</v>
      </c>
      <c r="AA133" s="164">
        <v>11.5</v>
      </c>
      <c r="AB133" s="164">
        <v>18</v>
      </c>
      <c r="AC133" s="164">
        <v>271</v>
      </c>
      <c r="AD133" s="164">
        <v>49.1</v>
      </c>
    </row>
    <row r="134" spans="1:30" ht="12.75" customHeight="1" thickBot="1">
      <c r="A134" s="6"/>
      <c r="B134" s="7" t="s">
        <v>21</v>
      </c>
      <c r="C134" s="24" t="s">
        <v>417</v>
      </c>
      <c r="D134" s="7"/>
      <c r="E134" s="494" t="s">
        <v>110</v>
      </c>
      <c r="F134" s="247">
        <f>D6</f>
        <v>0</v>
      </c>
      <c r="G134" s="54">
        <v>55</v>
      </c>
      <c r="H134" s="12">
        <f>+F134*G134</f>
        <v>0</v>
      </c>
      <c r="W134" s="161">
        <v>360</v>
      </c>
      <c r="X134" s="162">
        <v>360</v>
      </c>
      <c r="Y134" s="162">
        <v>170</v>
      </c>
      <c r="Z134" s="162">
        <v>8</v>
      </c>
      <c r="AA134" s="162">
        <v>12.7</v>
      </c>
      <c r="AB134" s="162">
        <v>18</v>
      </c>
      <c r="AC134" s="162">
        <v>298.60000000000002</v>
      </c>
      <c r="AD134" s="162">
        <v>57.1</v>
      </c>
    </row>
    <row r="135" spans="1:30" ht="15" customHeight="1" thickBot="1">
      <c r="A135" s="6"/>
      <c r="B135" s="52" t="s">
        <v>151</v>
      </c>
      <c r="C135" s="24" t="s">
        <v>22</v>
      </c>
      <c r="D135" s="7"/>
      <c r="E135" s="494" t="s">
        <v>110</v>
      </c>
      <c r="F135" s="247">
        <f>+F134</f>
        <v>0</v>
      </c>
      <c r="G135" s="54">
        <v>35</v>
      </c>
      <c r="H135" s="12">
        <f>+F135*G135</f>
        <v>0</v>
      </c>
      <c r="W135" s="163">
        <v>400</v>
      </c>
      <c r="X135" s="164">
        <v>400</v>
      </c>
      <c r="Y135" s="164">
        <v>180</v>
      </c>
      <c r="Z135" s="164">
        <v>8.6</v>
      </c>
      <c r="AA135" s="164">
        <v>13.5</v>
      </c>
      <c r="AB135" s="164">
        <v>21</v>
      </c>
      <c r="AC135" s="164">
        <v>331</v>
      </c>
      <c r="AD135" s="164">
        <v>66.3</v>
      </c>
    </row>
    <row r="136" spans="1:30" ht="12.75" customHeight="1" thickBot="1">
      <c r="A136" s="6"/>
      <c r="B136" s="7"/>
      <c r="C136" s="24"/>
      <c r="D136" s="7"/>
      <c r="E136" s="52"/>
      <c r="F136" s="260"/>
      <c r="G136" s="54"/>
      <c r="H136" s="55"/>
      <c r="W136" s="161">
        <v>450</v>
      </c>
      <c r="X136" s="162">
        <v>450</v>
      </c>
      <c r="Y136" s="162">
        <v>190</v>
      </c>
      <c r="Z136" s="162">
        <v>9.4</v>
      </c>
      <c r="AA136" s="162">
        <v>14.6</v>
      </c>
      <c r="AB136" s="162">
        <v>21</v>
      </c>
      <c r="AC136" s="162">
        <v>378.8</v>
      </c>
      <c r="AD136" s="162">
        <v>77.599999999999994</v>
      </c>
    </row>
    <row r="137" spans="1:30" ht="12.75" customHeight="1" thickBot="1">
      <c r="A137" s="6"/>
      <c r="B137" s="7" t="s">
        <v>23</v>
      </c>
      <c r="C137" s="24" t="s">
        <v>24</v>
      </c>
      <c r="D137" s="7"/>
      <c r="E137" s="494" t="s">
        <v>110</v>
      </c>
      <c r="F137" s="244">
        <f>F121</f>
        <v>0</v>
      </c>
      <c r="G137" s="54">
        <v>40</v>
      </c>
      <c r="H137" s="12">
        <f>F137*G137</f>
        <v>0</v>
      </c>
      <c r="W137" s="163">
        <v>500</v>
      </c>
      <c r="X137" s="164">
        <v>500</v>
      </c>
      <c r="Y137" s="164">
        <v>200</v>
      </c>
      <c r="Z137" s="164">
        <v>10.199999999999999</v>
      </c>
      <c r="AA137" s="164">
        <v>16</v>
      </c>
      <c r="AB137" s="164">
        <v>21</v>
      </c>
      <c r="AC137" s="164">
        <v>426</v>
      </c>
      <c r="AD137" s="164">
        <v>90.7</v>
      </c>
    </row>
    <row r="138" spans="1:30" ht="15" customHeight="1" thickBot="1">
      <c r="A138" s="6"/>
      <c r="B138" s="7"/>
      <c r="C138" s="24"/>
      <c r="D138" s="7"/>
      <c r="E138" s="52"/>
      <c r="F138" s="260"/>
      <c r="G138" s="54"/>
      <c r="H138" s="55"/>
      <c r="W138" s="163">
        <v>400</v>
      </c>
      <c r="X138" s="164">
        <v>400</v>
      </c>
      <c r="Y138" s="164">
        <v>180</v>
      </c>
      <c r="Z138" s="164">
        <v>8.6</v>
      </c>
      <c r="AA138" s="164">
        <v>13.5</v>
      </c>
      <c r="AB138" s="164">
        <v>21</v>
      </c>
      <c r="AC138" s="164">
        <v>331</v>
      </c>
      <c r="AD138" s="164">
        <v>66.3</v>
      </c>
    </row>
    <row r="139" spans="1:30" ht="12.75" customHeight="1" thickBot="1">
      <c r="A139" s="6"/>
      <c r="B139" s="7"/>
      <c r="C139" s="7"/>
      <c r="D139" s="7"/>
      <c r="E139" s="7"/>
      <c r="F139" s="250"/>
      <c r="G139" s="54"/>
      <c r="H139" s="55"/>
      <c r="W139" s="161">
        <v>550</v>
      </c>
      <c r="X139" s="162">
        <v>550</v>
      </c>
      <c r="Y139" s="162">
        <v>210</v>
      </c>
      <c r="Z139" s="162">
        <v>11.1</v>
      </c>
      <c r="AA139" s="162">
        <v>17.2</v>
      </c>
      <c r="AB139" s="162">
        <v>24</v>
      </c>
      <c r="AC139" s="162">
        <v>467.6</v>
      </c>
      <c r="AD139" s="162">
        <v>106</v>
      </c>
    </row>
    <row r="140" spans="1:30" ht="18.75" customHeight="1" thickBot="1">
      <c r="A140" s="6"/>
      <c r="B140" s="613" t="s">
        <v>152</v>
      </c>
      <c r="C140" s="614"/>
      <c r="D140" s="614"/>
      <c r="E140" s="614"/>
      <c r="F140" s="614"/>
      <c r="G140" s="614"/>
      <c r="H140" s="124">
        <f>SUM(H141:H158)</f>
        <v>0</v>
      </c>
      <c r="W140" s="163">
        <v>600</v>
      </c>
      <c r="X140" s="164">
        <v>600</v>
      </c>
      <c r="Y140" s="164">
        <v>220</v>
      </c>
      <c r="Z140" s="164">
        <v>12</v>
      </c>
      <c r="AA140" s="164">
        <v>19</v>
      </c>
      <c r="AB140" s="164">
        <v>24</v>
      </c>
      <c r="AC140" s="164">
        <v>514</v>
      </c>
      <c r="AD140" s="164">
        <v>122</v>
      </c>
    </row>
    <row r="141" spans="1:30" ht="9" customHeight="1" thickBot="1">
      <c r="A141" s="6"/>
      <c r="B141" s="7"/>
      <c r="C141" s="7"/>
      <c r="D141" s="7"/>
      <c r="E141" s="7"/>
      <c r="F141" s="250"/>
      <c r="G141" s="54"/>
      <c r="H141" s="55"/>
    </row>
    <row r="142" spans="1:30" ht="15" customHeight="1" thickBot="1">
      <c r="A142" s="367"/>
      <c r="B142" s="7" t="s">
        <v>25</v>
      </c>
      <c r="C142" s="563"/>
      <c r="D142" s="368"/>
      <c r="E142" s="494" t="s">
        <v>110</v>
      </c>
      <c r="F142" s="246">
        <f>IF(A142=1,C142*D142+C142,0)</f>
        <v>0</v>
      </c>
      <c r="G142" s="54">
        <v>60</v>
      </c>
      <c r="H142" s="12">
        <f>F142*G142</f>
        <v>0</v>
      </c>
      <c r="I142" s="554"/>
    </row>
    <row r="143" spans="1:30" ht="6.75" customHeight="1" thickBot="1">
      <c r="A143" s="64"/>
      <c r="B143" s="7"/>
      <c r="C143" s="24"/>
      <c r="D143" s="7"/>
      <c r="E143" s="7"/>
      <c r="F143" s="250"/>
      <c r="G143" s="54"/>
      <c r="H143" s="55"/>
      <c r="I143" s="65"/>
      <c r="J143" s="65"/>
      <c r="K143" s="66"/>
      <c r="L143" s="67"/>
      <c r="M143" s="68"/>
      <c r="N143" s="65"/>
    </row>
    <row r="144" spans="1:30" ht="15" customHeight="1" thickBot="1">
      <c r="A144" s="10">
        <v>0</v>
      </c>
      <c r="B144" s="7" t="s">
        <v>26</v>
      </c>
      <c r="C144" s="24" t="s">
        <v>22</v>
      </c>
      <c r="D144" s="7"/>
      <c r="E144" s="494" t="s">
        <v>110</v>
      </c>
      <c r="F144" s="344"/>
      <c r="G144" s="54">
        <v>35</v>
      </c>
      <c r="H144" s="12">
        <f>F144*G144</f>
        <v>0</v>
      </c>
      <c r="I144" s="65"/>
      <c r="J144" s="65"/>
      <c r="K144" s="66"/>
      <c r="L144" s="67"/>
      <c r="M144" s="68"/>
      <c r="N144" s="65"/>
    </row>
    <row r="145" spans="1:14" ht="6.75" customHeight="1" thickBot="1">
      <c r="A145" s="64"/>
      <c r="B145" s="7"/>
      <c r="C145" s="24"/>
      <c r="D145" s="7"/>
      <c r="E145" s="7"/>
      <c r="F145" s="250"/>
      <c r="G145" s="54"/>
      <c r="H145" s="55"/>
      <c r="I145" s="65"/>
      <c r="J145" s="65"/>
      <c r="K145" s="66"/>
      <c r="L145" s="67"/>
      <c r="M145" s="68"/>
      <c r="N145" s="65"/>
    </row>
    <row r="146" spans="1:14" ht="12.75" customHeight="1" thickBot="1">
      <c r="A146" s="10">
        <v>0</v>
      </c>
      <c r="B146" s="7" t="s">
        <v>305</v>
      </c>
      <c r="C146" s="24"/>
      <c r="D146" s="7"/>
      <c r="E146" s="494" t="s">
        <v>110</v>
      </c>
      <c r="F146" s="344"/>
      <c r="G146" s="54">
        <v>95</v>
      </c>
      <c r="H146" s="12">
        <f>F146*G146</f>
        <v>0</v>
      </c>
      <c r="I146" s="65"/>
      <c r="J146" s="65"/>
      <c r="K146" s="66"/>
      <c r="L146" s="67"/>
      <c r="M146" s="68"/>
      <c r="N146" s="65"/>
    </row>
    <row r="147" spans="1:14" ht="12.75" customHeight="1" thickBot="1">
      <c r="A147" s="367"/>
      <c r="B147" s="69" t="s">
        <v>176</v>
      </c>
      <c r="C147" s="24"/>
      <c r="D147" s="7"/>
      <c r="E147" s="494" t="s">
        <v>110</v>
      </c>
      <c r="F147" s="245">
        <f>IF(A147=1,F146,IF(A147=0,0))</f>
        <v>0</v>
      </c>
      <c r="G147" s="54">
        <v>15</v>
      </c>
      <c r="H147" s="12">
        <f>F147*G147</f>
        <v>0</v>
      </c>
      <c r="I147" s="554"/>
      <c r="J147" s="65"/>
      <c r="K147" s="66"/>
      <c r="L147" s="67"/>
      <c r="M147" s="68"/>
      <c r="N147" s="65"/>
    </row>
    <row r="148" spans="1:14" ht="12.75" customHeight="1" thickBot="1">
      <c r="A148" s="367"/>
      <c r="B148" s="69" t="s">
        <v>177</v>
      </c>
      <c r="C148" s="24"/>
      <c r="D148" s="7"/>
      <c r="E148" s="494" t="s">
        <v>110</v>
      </c>
      <c r="F148" s="245">
        <f>IF(A148=1,F146,IF(A148=0,0))</f>
        <v>0</v>
      </c>
      <c r="G148" s="54">
        <v>9</v>
      </c>
      <c r="H148" s="12">
        <f>F148*G148</f>
        <v>0</v>
      </c>
      <c r="I148" s="554"/>
      <c r="J148" s="65"/>
      <c r="K148" s="66"/>
      <c r="L148" s="67"/>
      <c r="M148" s="68"/>
      <c r="N148" s="65"/>
    </row>
    <row r="149" spans="1:14" ht="12.75" customHeight="1" thickBot="1">
      <c r="A149" s="367"/>
      <c r="B149" s="69" t="s">
        <v>304</v>
      </c>
      <c r="C149" s="24"/>
      <c r="D149" s="7"/>
      <c r="E149" s="494" t="s">
        <v>110</v>
      </c>
      <c r="F149" s="245">
        <f>IF(A149=1,F146,IF(A149=0,0))</f>
        <v>0</v>
      </c>
      <c r="G149" s="54">
        <v>25</v>
      </c>
      <c r="H149" s="12">
        <f>F149*G149</f>
        <v>0</v>
      </c>
      <c r="I149" s="554"/>
      <c r="J149" s="65"/>
      <c r="K149" s="66"/>
      <c r="L149" s="67"/>
      <c r="M149" s="68"/>
      <c r="N149" s="65"/>
    </row>
    <row r="150" spans="1:14" ht="6.75" customHeight="1" thickBot="1">
      <c r="A150" s="64"/>
      <c r="B150" s="7"/>
      <c r="C150" s="24"/>
      <c r="D150" s="7"/>
      <c r="E150" s="7"/>
      <c r="F150" s="250"/>
      <c r="G150" s="54"/>
      <c r="H150" s="55"/>
      <c r="I150" s="65"/>
      <c r="J150" s="65"/>
      <c r="K150" s="66"/>
      <c r="L150" s="67"/>
      <c r="M150" s="68"/>
      <c r="N150" s="65"/>
    </row>
    <row r="151" spans="1:14" ht="14.4" thickBot="1">
      <c r="A151" s="367">
        <v>0</v>
      </c>
      <c r="B151" s="7" t="s">
        <v>27</v>
      </c>
      <c r="C151" s="24" t="s">
        <v>6</v>
      </c>
      <c r="D151" s="7"/>
      <c r="E151" s="494" t="s">
        <v>110</v>
      </c>
      <c r="F151" s="246">
        <f>IF(A151=1,H17,0)</f>
        <v>0</v>
      </c>
      <c r="G151" s="54">
        <v>80</v>
      </c>
      <c r="H151" s="12">
        <f>F151*G151</f>
        <v>0</v>
      </c>
      <c r="I151" s="554"/>
      <c r="J151" s="65"/>
      <c r="K151" s="66"/>
      <c r="L151" s="67"/>
      <c r="M151" s="68"/>
      <c r="N151" s="65"/>
    </row>
    <row r="152" spans="1:14" ht="6.75" customHeight="1" thickBot="1">
      <c r="A152" s="64"/>
      <c r="B152" s="7"/>
      <c r="C152" s="24"/>
      <c r="D152" s="7"/>
      <c r="E152" s="7"/>
      <c r="F152" s="250"/>
      <c r="G152" s="54"/>
      <c r="H152" s="55"/>
    </row>
    <row r="153" spans="1:14" ht="14.4" thickBot="1">
      <c r="A153" s="367">
        <v>0</v>
      </c>
      <c r="B153" s="7" t="s">
        <v>28</v>
      </c>
      <c r="C153" s="24" t="s">
        <v>6</v>
      </c>
      <c r="D153" s="7"/>
      <c r="E153" s="494" t="s">
        <v>110</v>
      </c>
      <c r="F153" s="246">
        <f>IF(A153=1,H17,0)</f>
        <v>0</v>
      </c>
      <c r="G153" s="54">
        <v>45</v>
      </c>
      <c r="H153" s="12">
        <f>F153*G153</f>
        <v>0</v>
      </c>
      <c r="I153" s="554"/>
    </row>
    <row r="154" spans="1:14" ht="6.75" customHeight="1" thickBot="1">
      <c r="A154" s="64"/>
      <c r="B154" s="7"/>
      <c r="C154" s="24"/>
      <c r="D154" s="7"/>
      <c r="E154" s="7"/>
      <c r="F154" s="250"/>
      <c r="G154" s="54"/>
      <c r="H154" s="55"/>
    </row>
    <row r="155" spans="1:14" ht="14.4" thickBot="1">
      <c r="A155" s="367">
        <v>0</v>
      </c>
      <c r="B155" s="7" t="s">
        <v>29</v>
      </c>
      <c r="C155" s="563"/>
      <c r="D155" s="368"/>
      <c r="E155" s="494" t="s">
        <v>110</v>
      </c>
      <c r="F155" s="246">
        <f>IF(A155=1,C155*D155+C155,0)</f>
        <v>0</v>
      </c>
      <c r="G155" s="54">
        <v>60</v>
      </c>
      <c r="H155" s="12">
        <f>F155*G155</f>
        <v>0</v>
      </c>
      <c r="I155" s="70"/>
      <c r="J155" s="70"/>
      <c r="K155" s="70"/>
      <c r="L155" s="70"/>
      <c r="M155" s="70"/>
      <c r="N155" s="70"/>
    </row>
    <row r="156" spans="1:14" ht="14.4" thickBot="1">
      <c r="A156" s="367">
        <v>0</v>
      </c>
      <c r="B156" s="7" t="s">
        <v>71</v>
      </c>
      <c r="C156" s="568"/>
      <c r="D156" s="368"/>
      <c r="E156" s="494" t="s">
        <v>110</v>
      </c>
      <c r="F156" s="246">
        <f>IF(A156=1,C156*D156+C156,0)</f>
        <v>0</v>
      </c>
      <c r="G156" s="54">
        <v>130</v>
      </c>
      <c r="H156" s="12">
        <f>F156*G156</f>
        <v>0</v>
      </c>
    </row>
    <row r="157" spans="1:14" ht="14.4" thickBot="1">
      <c r="A157" s="367">
        <v>0</v>
      </c>
      <c r="B157" s="7" t="s">
        <v>30</v>
      </c>
      <c r="C157" s="568"/>
      <c r="D157" s="368"/>
      <c r="E157" s="494" t="s">
        <v>110</v>
      </c>
      <c r="F157" s="246">
        <f>IF(A157=1,C157*D157+C157,0)</f>
        <v>0</v>
      </c>
      <c r="G157" s="54">
        <v>80</v>
      </c>
      <c r="H157" s="12">
        <f>F157*G157</f>
        <v>0</v>
      </c>
    </row>
    <row r="158" spans="1:14" ht="14.4" thickBot="1">
      <c r="A158" s="64"/>
      <c r="B158" s="7"/>
      <c r="C158" s="24"/>
      <c r="D158" s="7"/>
      <c r="E158" s="498"/>
      <c r="F158" s="268"/>
      <c r="G158" s="54"/>
      <c r="H158" s="55"/>
      <c r="K158" s="58"/>
    </row>
    <row r="159" spans="1:14" ht="18.600000000000001" thickBot="1">
      <c r="A159" s="6"/>
      <c r="B159" s="613" t="s">
        <v>31</v>
      </c>
      <c r="C159" s="614"/>
      <c r="D159" s="614"/>
      <c r="E159" s="614"/>
      <c r="F159" s="614"/>
      <c r="G159" s="618"/>
      <c r="H159" s="124">
        <f>SUM(H160:H173)</f>
        <v>0</v>
      </c>
    </row>
    <row r="160" spans="1:14" ht="11.25" customHeight="1" thickBot="1">
      <c r="A160" s="6"/>
      <c r="B160" s="7"/>
      <c r="C160" s="7"/>
      <c r="D160" s="7"/>
      <c r="E160" s="7"/>
      <c r="F160" s="250"/>
      <c r="G160" s="54"/>
      <c r="H160" s="55"/>
    </row>
    <row r="161" spans="1:13" ht="14.4" thickBot="1">
      <c r="A161" s="367">
        <v>0</v>
      </c>
      <c r="B161" s="7" t="s">
        <v>32</v>
      </c>
      <c r="C161" s="563"/>
      <c r="D161" s="368"/>
      <c r="E161" s="494" t="s">
        <v>110</v>
      </c>
      <c r="F161" s="246">
        <f>IF(A161=1,C161*D161+C161,0)</f>
        <v>0</v>
      </c>
      <c r="G161" s="537">
        <v>65</v>
      </c>
      <c r="H161" s="12">
        <f>F161*G161</f>
        <v>0</v>
      </c>
      <c r="I161" s="554"/>
    </row>
    <row r="162" spans="1:13" ht="14.4" thickBot="1">
      <c r="A162" s="6"/>
      <c r="B162" s="7"/>
      <c r="C162" s="24"/>
      <c r="D162" s="7"/>
      <c r="E162" s="7"/>
      <c r="F162" s="250"/>
      <c r="G162" s="537"/>
      <c r="H162" s="55"/>
    </row>
    <row r="163" spans="1:13" ht="14.4" thickBot="1">
      <c r="A163" s="367">
        <v>0</v>
      </c>
      <c r="B163" s="7" t="s">
        <v>163</v>
      </c>
      <c r="C163" s="563"/>
      <c r="D163" s="368"/>
      <c r="E163" s="494" t="s">
        <v>110</v>
      </c>
      <c r="F163" s="246">
        <f t="shared" ref="F163:F168" si="5">IF(A163=1,C163*D163+C163,0)</f>
        <v>0</v>
      </c>
      <c r="G163" s="537">
        <v>30</v>
      </c>
      <c r="H163" s="12">
        <f t="shared" ref="H163:H168" si="6">F163*G163</f>
        <v>0</v>
      </c>
      <c r="I163" s="554"/>
    </row>
    <row r="164" spans="1:13" ht="14.4" thickBot="1">
      <c r="A164" s="367">
        <v>0</v>
      </c>
      <c r="B164" s="7" t="s">
        <v>505</v>
      </c>
      <c r="C164" s="563"/>
      <c r="D164" s="368"/>
      <c r="E164" s="494" t="s">
        <v>110</v>
      </c>
      <c r="F164" s="246">
        <f>IF(A164=1,C164*D164+C164,0)</f>
        <v>0</v>
      </c>
      <c r="G164" s="537">
        <v>25</v>
      </c>
      <c r="H164" s="12">
        <f>F164*G164</f>
        <v>0</v>
      </c>
      <c r="I164" s="554"/>
    </row>
    <row r="165" spans="1:13" ht="14.4" thickBot="1">
      <c r="A165" s="367">
        <v>0</v>
      </c>
      <c r="B165" s="7" t="s">
        <v>504</v>
      </c>
      <c r="C165" s="563"/>
      <c r="D165" s="368"/>
      <c r="E165" s="494" t="s">
        <v>110</v>
      </c>
      <c r="F165" s="246">
        <f t="shared" si="5"/>
        <v>0</v>
      </c>
      <c r="G165" s="537">
        <v>70</v>
      </c>
      <c r="H165" s="12">
        <f t="shared" si="6"/>
        <v>0</v>
      </c>
      <c r="I165" s="554"/>
    </row>
    <row r="166" spans="1:13" ht="14.4" thickBot="1">
      <c r="A166" s="367">
        <v>0</v>
      </c>
      <c r="B166" s="7" t="s">
        <v>449</v>
      </c>
      <c r="C166" s="24"/>
      <c r="D166" s="368"/>
      <c r="E166" s="494" t="s">
        <v>153</v>
      </c>
      <c r="F166" s="246">
        <f>IF(A166=1,D166,0)</f>
        <v>0</v>
      </c>
      <c r="G166" s="538">
        <v>45</v>
      </c>
      <c r="H166" s="12">
        <f t="shared" si="6"/>
        <v>0</v>
      </c>
      <c r="I166" s="554"/>
    </row>
    <row r="167" spans="1:13" ht="14.4" thickBot="1">
      <c r="A167" s="367">
        <v>0</v>
      </c>
      <c r="B167" s="7" t="s">
        <v>425</v>
      </c>
      <c r="C167" s="563"/>
      <c r="D167" s="368"/>
      <c r="E167" s="494" t="s">
        <v>153</v>
      </c>
      <c r="F167" s="246">
        <f>IF(A167=1,C167*D167,0)</f>
        <v>0</v>
      </c>
      <c r="G167" s="537">
        <v>28</v>
      </c>
      <c r="H167" s="12">
        <f t="shared" si="6"/>
        <v>0</v>
      </c>
      <c r="I167" s="554"/>
    </row>
    <row r="168" spans="1:13" ht="14.4" thickBot="1">
      <c r="A168" s="367">
        <v>0</v>
      </c>
      <c r="B168" s="7" t="s">
        <v>506</v>
      </c>
      <c r="C168" s="563"/>
      <c r="D168" s="368"/>
      <c r="E168" s="494" t="s">
        <v>153</v>
      </c>
      <c r="F168" s="246">
        <f t="shared" si="5"/>
        <v>0</v>
      </c>
      <c r="G168" s="537">
        <v>30</v>
      </c>
      <c r="H168" s="12">
        <f t="shared" si="6"/>
        <v>0</v>
      </c>
      <c r="I168" s="554"/>
    </row>
    <row r="169" spans="1:13" ht="14.4" thickBot="1">
      <c r="A169" s="6"/>
      <c r="B169" s="7"/>
      <c r="C169" s="24"/>
      <c r="D169" s="7"/>
      <c r="E169" s="7"/>
      <c r="F169" s="250"/>
      <c r="G169" s="537"/>
      <c r="H169" s="55"/>
      <c r="I169" s="554"/>
    </row>
    <row r="170" spans="1:13" ht="14.4" thickBot="1">
      <c r="A170" s="367">
        <v>0</v>
      </c>
      <c r="B170" s="7" t="s">
        <v>407</v>
      </c>
      <c r="C170" s="563"/>
      <c r="D170" s="368"/>
      <c r="E170" s="494" t="s">
        <v>110</v>
      </c>
      <c r="F170" s="246">
        <f>IF(A170=1,C170*D170+C170,0)</f>
        <v>0</v>
      </c>
      <c r="G170" s="537">
        <v>95</v>
      </c>
      <c r="H170" s="12">
        <f>F170*G170</f>
        <v>0</v>
      </c>
      <c r="I170" s="554"/>
    </row>
    <row r="171" spans="1:13" ht="14.4" thickBot="1">
      <c r="A171" s="367">
        <v>0</v>
      </c>
      <c r="B171" s="7" t="s">
        <v>33</v>
      </c>
      <c r="E171" s="494" t="s">
        <v>110</v>
      </c>
      <c r="F171" s="246">
        <f>IF(A171=1,F170,0)</f>
        <v>0</v>
      </c>
      <c r="G171" s="537">
        <v>65</v>
      </c>
      <c r="H171" s="12">
        <f>F171*G171</f>
        <v>0</v>
      </c>
    </row>
    <row r="172" spans="1:13" ht="14.4" thickBot="1">
      <c r="A172" s="367">
        <v>0</v>
      </c>
      <c r="B172" s="7" t="s">
        <v>34</v>
      </c>
      <c r="C172" s="24" t="s">
        <v>306</v>
      </c>
      <c r="D172" s="368"/>
      <c r="E172" s="494" t="s">
        <v>110</v>
      </c>
      <c r="F172" s="246">
        <f>IF(A172=1,C172*D172+C172,0)</f>
        <v>0</v>
      </c>
      <c r="G172" s="537">
        <v>150</v>
      </c>
      <c r="H172" s="12">
        <f>F172*G172</f>
        <v>0</v>
      </c>
      <c r="I172" s="554"/>
    </row>
    <row r="173" spans="1:13" ht="14.4" thickBot="1">
      <c r="A173" s="6"/>
      <c r="B173" s="7"/>
      <c r="C173" s="7"/>
      <c r="D173" s="7"/>
      <c r="E173" s="7"/>
      <c r="F173" s="250"/>
      <c r="G173" s="54"/>
      <c r="H173" s="55"/>
    </row>
    <row r="174" spans="1:13" ht="18.600000000000001" thickBot="1">
      <c r="A174" s="6"/>
      <c r="B174" s="613" t="s">
        <v>35</v>
      </c>
      <c r="C174" s="614"/>
      <c r="D174" s="614"/>
      <c r="E174" s="614"/>
      <c r="F174" s="614"/>
      <c r="G174" s="614"/>
      <c r="H174" s="193">
        <f>SUM(H175:H185)</f>
        <v>0</v>
      </c>
      <c r="I174" s="554"/>
    </row>
    <row r="175" spans="1:13" ht="14.4" thickBot="1">
      <c r="A175" s="6"/>
      <c r="B175" s="7"/>
      <c r="C175" s="7"/>
      <c r="D175" s="7"/>
      <c r="E175" s="7"/>
      <c r="F175" s="250"/>
      <c r="G175" s="54"/>
      <c r="H175" s="55"/>
    </row>
    <row r="176" spans="1:13" ht="14.4" thickBot="1">
      <c r="A176" s="10">
        <v>0</v>
      </c>
      <c r="B176" s="7" t="s">
        <v>36</v>
      </c>
      <c r="C176" s="24" t="s">
        <v>7</v>
      </c>
      <c r="D176" s="7"/>
      <c r="E176" s="494" t="s">
        <v>110</v>
      </c>
      <c r="F176" s="245">
        <f>+M176</f>
        <v>0</v>
      </c>
      <c r="G176" s="54">
        <v>65</v>
      </c>
      <c r="H176" s="12">
        <f t="shared" ref="H176:H183" si="7">F176*G176</f>
        <v>0</v>
      </c>
      <c r="I176" s="122"/>
      <c r="J176" s="123" t="s">
        <v>298</v>
      </c>
      <c r="K176" s="121"/>
      <c r="L176" s="121"/>
      <c r="M176" s="61">
        <f>+K176+L176</f>
        <v>0</v>
      </c>
    </row>
    <row r="177" spans="1:13" ht="14.4" thickBot="1">
      <c r="A177" s="10">
        <v>0</v>
      </c>
      <c r="B177" s="7" t="s">
        <v>37</v>
      </c>
      <c r="C177" s="24" t="s">
        <v>7</v>
      </c>
      <c r="D177" s="188"/>
      <c r="E177" s="494" t="s">
        <v>110</v>
      </c>
      <c r="F177" s="245">
        <f t="shared" ref="F177:F184" si="8">+M177</f>
        <v>0</v>
      </c>
      <c r="G177" s="54">
        <v>75</v>
      </c>
      <c r="H177" s="12">
        <f t="shared" si="7"/>
        <v>0</v>
      </c>
      <c r="I177" s="122"/>
      <c r="J177" s="123" t="s">
        <v>298</v>
      </c>
      <c r="K177" s="121"/>
      <c r="L177" s="121"/>
      <c r="M177" s="61">
        <f t="shared" ref="M177:M183" si="9">+K177+L177</f>
        <v>0</v>
      </c>
    </row>
    <row r="178" spans="1:13" ht="14.4" thickBot="1">
      <c r="A178" s="10">
        <v>0</v>
      </c>
      <c r="B178" s="7" t="s">
        <v>38</v>
      </c>
      <c r="C178" s="24" t="s">
        <v>7</v>
      </c>
      <c r="D178" s="7"/>
      <c r="E178" s="494" t="s">
        <v>110</v>
      </c>
      <c r="F178" s="245">
        <f t="shared" si="8"/>
        <v>0</v>
      </c>
      <c r="G178" s="54">
        <v>85</v>
      </c>
      <c r="H178" s="12">
        <f t="shared" si="7"/>
        <v>0</v>
      </c>
      <c r="I178" s="122"/>
      <c r="J178" s="123" t="s">
        <v>298</v>
      </c>
      <c r="K178" s="121"/>
      <c r="L178" s="121"/>
      <c r="M178" s="61">
        <f t="shared" si="9"/>
        <v>0</v>
      </c>
    </row>
    <row r="179" spans="1:13" ht="14.4" thickBot="1">
      <c r="A179" s="10">
        <v>0</v>
      </c>
      <c r="B179" s="7" t="s">
        <v>402</v>
      </c>
      <c r="C179" s="24" t="s">
        <v>7</v>
      </c>
      <c r="D179" s="7"/>
      <c r="E179" s="494" t="s">
        <v>110</v>
      </c>
      <c r="F179" s="245">
        <f t="shared" si="8"/>
        <v>0</v>
      </c>
      <c r="G179" s="54">
        <v>190</v>
      </c>
      <c r="H179" s="12">
        <f t="shared" si="7"/>
        <v>0</v>
      </c>
      <c r="I179" s="122"/>
      <c r="J179" s="123" t="s">
        <v>298</v>
      </c>
      <c r="K179" s="121"/>
      <c r="L179" s="121"/>
      <c r="M179" s="61">
        <f t="shared" si="9"/>
        <v>0</v>
      </c>
    </row>
    <row r="180" spans="1:13" ht="14.4" thickBot="1">
      <c r="A180" s="10">
        <v>0</v>
      </c>
      <c r="B180" s="7" t="s">
        <v>101</v>
      </c>
      <c r="C180" s="24" t="s">
        <v>7</v>
      </c>
      <c r="D180" s="7"/>
      <c r="E180" s="494" t="s">
        <v>110</v>
      </c>
      <c r="F180" s="245">
        <f t="shared" si="8"/>
        <v>0</v>
      </c>
      <c r="G180" s="54">
        <v>65</v>
      </c>
      <c r="H180" s="12">
        <f t="shared" si="7"/>
        <v>0</v>
      </c>
      <c r="I180" s="122"/>
      <c r="J180" s="123" t="s">
        <v>298</v>
      </c>
      <c r="K180" s="121"/>
      <c r="L180" s="121"/>
      <c r="M180" s="61">
        <f t="shared" si="9"/>
        <v>0</v>
      </c>
    </row>
    <row r="181" spans="1:13" ht="14.4" thickBot="1">
      <c r="A181" s="10">
        <v>0</v>
      </c>
      <c r="B181" s="7" t="s">
        <v>178</v>
      </c>
      <c r="C181" s="24" t="s">
        <v>7</v>
      </c>
      <c r="D181" s="7"/>
      <c r="E181" s="494" t="s">
        <v>110</v>
      </c>
      <c r="F181" s="245">
        <f t="shared" si="8"/>
        <v>0</v>
      </c>
      <c r="G181" s="54">
        <v>75</v>
      </c>
      <c r="H181" s="12">
        <f t="shared" si="7"/>
        <v>0</v>
      </c>
      <c r="I181" s="122"/>
      <c r="J181" s="123" t="s">
        <v>298</v>
      </c>
      <c r="K181" s="121"/>
      <c r="L181" s="121"/>
      <c r="M181" s="61">
        <f t="shared" si="9"/>
        <v>0</v>
      </c>
    </row>
    <row r="182" spans="1:13" ht="14.4" thickBot="1">
      <c r="A182" s="10">
        <v>0</v>
      </c>
      <c r="B182" s="7" t="s">
        <v>179</v>
      </c>
      <c r="C182" s="24" t="s">
        <v>7</v>
      </c>
      <c r="D182" s="7"/>
      <c r="E182" s="494" t="s">
        <v>110</v>
      </c>
      <c r="F182" s="245">
        <f t="shared" si="8"/>
        <v>0</v>
      </c>
      <c r="G182" s="54">
        <v>95</v>
      </c>
      <c r="H182" s="12">
        <f t="shared" si="7"/>
        <v>0</v>
      </c>
      <c r="I182" s="122"/>
      <c r="J182" s="123" t="s">
        <v>298</v>
      </c>
      <c r="K182" s="121"/>
      <c r="L182" s="121"/>
      <c r="M182" s="61">
        <f t="shared" si="9"/>
        <v>0</v>
      </c>
    </row>
    <row r="183" spans="1:13" ht="14.4" thickBot="1">
      <c r="A183" s="10">
        <v>0</v>
      </c>
      <c r="B183" s="7" t="s">
        <v>180</v>
      </c>
      <c r="C183" s="24" t="s">
        <v>7</v>
      </c>
      <c r="D183" s="7"/>
      <c r="E183" s="494" t="s">
        <v>110</v>
      </c>
      <c r="F183" s="245">
        <f t="shared" si="8"/>
        <v>0</v>
      </c>
      <c r="G183" s="54">
        <v>105</v>
      </c>
      <c r="H183" s="12">
        <f t="shared" si="7"/>
        <v>0</v>
      </c>
      <c r="I183" s="122"/>
      <c r="J183" s="123" t="s">
        <v>298</v>
      </c>
      <c r="K183" s="121"/>
      <c r="L183" s="121"/>
      <c r="M183" s="61">
        <f t="shared" si="9"/>
        <v>0</v>
      </c>
    </row>
    <row r="184" spans="1:13" ht="14.4" thickBot="1">
      <c r="A184" s="10">
        <v>0</v>
      </c>
      <c r="B184" s="155" t="s">
        <v>507</v>
      </c>
      <c r="C184" s="24" t="s">
        <v>508</v>
      </c>
      <c r="D184" s="370"/>
      <c r="E184" s="494" t="s">
        <v>154</v>
      </c>
      <c r="F184" s="245">
        <f t="shared" si="8"/>
        <v>0</v>
      </c>
      <c r="G184" s="54">
        <v>100</v>
      </c>
      <c r="H184" s="369">
        <f>F184*G184</f>
        <v>0</v>
      </c>
      <c r="I184" s="122"/>
      <c r="J184" s="123" t="s">
        <v>298</v>
      </c>
      <c r="K184" s="121"/>
      <c r="L184" s="121"/>
      <c r="M184" s="61">
        <f>+K184+L184*2</f>
        <v>0</v>
      </c>
    </row>
    <row r="185" spans="1:13" ht="14.4" thickBot="1">
      <c r="A185" s="6"/>
      <c r="B185" s="7"/>
      <c r="C185" s="7"/>
      <c r="D185" s="7"/>
      <c r="E185" s="7"/>
      <c r="F185" s="250"/>
      <c r="G185" s="54"/>
      <c r="H185" s="55"/>
    </row>
    <row r="186" spans="1:13" ht="18.600000000000001" thickBot="1">
      <c r="A186" s="6"/>
      <c r="B186" s="613" t="s">
        <v>39</v>
      </c>
      <c r="C186" s="614"/>
      <c r="D186" s="614"/>
      <c r="E186" s="614"/>
      <c r="F186" s="614"/>
      <c r="G186" s="614"/>
      <c r="H186" s="124">
        <f>SUM(H187:H227)</f>
        <v>0</v>
      </c>
    </row>
    <row r="187" spans="1:13" ht="14.4" thickBot="1">
      <c r="A187" s="6"/>
      <c r="B187" s="11" t="s">
        <v>509</v>
      </c>
      <c r="C187" s="7"/>
      <c r="D187" s="7"/>
      <c r="E187" s="7"/>
      <c r="F187" s="250"/>
      <c r="G187" s="54"/>
      <c r="H187" s="55"/>
    </row>
    <row r="188" spans="1:13">
      <c r="A188" s="6"/>
      <c r="B188" s="52" t="s">
        <v>513</v>
      </c>
      <c r="C188" s="563"/>
      <c r="D188" s="374"/>
      <c r="E188" s="511"/>
      <c r="F188" s="379">
        <f>C188*D188*E188</f>
        <v>0</v>
      </c>
      <c r="G188" s="54">
        <v>550</v>
      </c>
      <c r="H188" s="12">
        <f t="shared" ref="H188:H221" si="10">F188*G188</f>
        <v>0</v>
      </c>
      <c r="I188" s="494" t="s">
        <v>110</v>
      </c>
    </row>
    <row r="189" spans="1:13">
      <c r="A189" s="6"/>
      <c r="B189" s="52" t="s">
        <v>514</v>
      </c>
      <c r="C189" s="563"/>
      <c r="D189" s="374"/>
      <c r="E189" s="512"/>
      <c r="F189" s="380">
        <f>C189*D189*E189</f>
        <v>0</v>
      </c>
      <c r="G189" s="54">
        <v>350</v>
      </c>
      <c r="H189" s="12">
        <f t="shared" si="10"/>
        <v>0</v>
      </c>
      <c r="I189" s="494" t="s">
        <v>110</v>
      </c>
    </row>
    <row r="190" spans="1:13">
      <c r="A190" s="6"/>
      <c r="B190" s="52" t="s">
        <v>515</v>
      </c>
      <c r="C190" s="563"/>
      <c r="D190" s="374"/>
      <c r="E190" s="512"/>
      <c r="F190" s="380">
        <f>C190*D190*E190</f>
        <v>0</v>
      </c>
      <c r="G190" s="54">
        <v>650</v>
      </c>
      <c r="H190" s="12">
        <f t="shared" si="10"/>
        <v>0</v>
      </c>
      <c r="I190" s="494" t="s">
        <v>110</v>
      </c>
    </row>
    <row r="191" spans="1:13">
      <c r="A191" s="6"/>
      <c r="B191" s="52" t="s">
        <v>516</v>
      </c>
      <c r="C191" s="563"/>
      <c r="D191" s="374"/>
      <c r="E191" s="512"/>
      <c r="F191" s="381">
        <f>C191*D191*E191</f>
        <v>0</v>
      </c>
      <c r="G191" s="54">
        <v>650</v>
      </c>
      <c r="H191" s="12">
        <f t="shared" si="10"/>
        <v>0</v>
      </c>
      <c r="I191" s="494" t="s">
        <v>110</v>
      </c>
    </row>
    <row r="192" spans="1:13">
      <c r="A192" s="6"/>
      <c r="B192" s="52" t="s">
        <v>518</v>
      </c>
      <c r="C192" s="569"/>
      <c r="D192" s="375"/>
      <c r="E192" s="512"/>
      <c r="F192" s="376">
        <f>C192*D192</f>
        <v>0</v>
      </c>
      <c r="G192" s="54">
        <v>1400</v>
      </c>
      <c r="H192" s="12">
        <f t="shared" si="10"/>
        <v>0</v>
      </c>
      <c r="I192" s="494" t="s">
        <v>154</v>
      </c>
    </row>
    <row r="193" spans="1:9" ht="14.4" thickBot="1">
      <c r="A193" s="6"/>
      <c r="B193" s="52" t="s">
        <v>519</v>
      </c>
      <c r="C193" s="569"/>
      <c r="D193" s="375"/>
      <c r="E193" s="513"/>
      <c r="F193" s="377">
        <f>C193*D193</f>
        <v>0</v>
      </c>
      <c r="G193" s="54">
        <v>1950</v>
      </c>
      <c r="H193" s="12">
        <f t="shared" si="10"/>
        <v>0</v>
      </c>
      <c r="I193" s="494" t="s">
        <v>154</v>
      </c>
    </row>
    <row r="194" spans="1:9" ht="14.4" thickBot="1">
      <c r="A194" s="6"/>
      <c r="B194" s="11" t="s">
        <v>510</v>
      </c>
      <c r="C194" s="7"/>
      <c r="D194" s="71"/>
      <c r="E194" s="7"/>
      <c r="F194" s="71"/>
      <c r="G194" s="54"/>
      <c r="H194" s="371"/>
      <c r="I194" s="7"/>
    </row>
    <row r="195" spans="1:9">
      <c r="A195" s="6"/>
      <c r="B195" s="52" t="s">
        <v>513</v>
      </c>
      <c r="C195" s="563"/>
      <c r="D195" s="374"/>
      <c r="E195" s="511"/>
      <c r="F195" s="379">
        <f>C195*D195*E195</f>
        <v>0</v>
      </c>
      <c r="G195" s="54">
        <v>650</v>
      </c>
      <c r="H195" s="12">
        <f t="shared" si="10"/>
        <v>0</v>
      </c>
      <c r="I195" s="494" t="s">
        <v>110</v>
      </c>
    </row>
    <row r="196" spans="1:9">
      <c r="A196" s="6"/>
      <c r="B196" s="52" t="s">
        <v>514</v>
      </c>
      <c r="C196" s="563"/>
      <c r="D196" s="374"/>
      <c r="E196" s="512"/>
      <c r="F196" s="380">
        <f>C196*D196*E196</f>
        <v>0</v>
      </c>
      <c r="G196" s="54">
        <v>450</v>
      </c>
      <c r="H196" s="12">
        <f t="shared" si="10"/>
        <v>0</v>
      </c>
      <c r="I196" s="494" t="s">
        <v>110</v>
      </c>
    </row>
    <row r="197" spans="1:9">
      <c r="A197" s="6"/>
      <c r="B197" s="52" t="s">
        <v>515</v>
      </c>
      <c r="C197" s="563"/>
      <c r="D197" s="374"/>
      <c r="E197" s="512"/>
      <c r="F197" s="380">
        <f>C197*D197*E197</f>
        <v>0</v>
      </c>
      <c r="G197" s="54">
        <v>750</v>
      </c>
      <c r="H197" s="12">
        <f t="shared" si="10"/>
        <v>0</v>
      </c>
      <c r="I197" s="494" t="s">
        <v>110</v>
      </c>
    </row>
    <row r="198" spans="1:9">
      <c r="A198" s="6"/>
      <c r="B198" s="52" t="s">
        <v>516</v>
      </c>
      <c r="C198" s="563"/>
      <c r="D198" s="374"/>
      <c r="E198" s="512"/>
      <c r="F198" s="381">
        <f>C198*D198*E198</f>
        <v>0</v>
      </c>
      <c r="G198" s="54">
        <v>750</v>
      </c>
      <c r="H198" s="12">
        <f t="shared" si="10"/>
        <v>0</v>
      </c>
      <c r="I198" s="494" t="s">
        <v>110</v>
      </c>
    </row>
    <row r="199" spans="1:9">
      <c r="A199" s="6"/>
      <c r="B199" s="52" t="s">
        <v>518</v>
      </c>
      <c r="C199" s="569"/>
      <c r="D199" s="375"/>
      <c r="E199" s="514"/>
      <c r="F199" s="376">
        <f>C199*D199</f>
        <v>0</v>
      </c>
      <c r="G199" s="54">
        <v>1600</v>
      </c>
      <c r="H199" s="12">
        <f t="shared" si="10"/>
        <v>0</v>
      </c>
      <c r="I199" s="494" t="s">
        <v>154</v>
      </c>
    </row>
    <row r="200" spans="1:9" ht="14.4" thickBot="1">
      <c r="A200" s="6"/>
      <c r="B200" s="52" t="s">
        <v>519</v>
      </c>
      <c r="C200" s="569"/>
      <c r="D200" s="375"/>
      <c r="E200" s="515"/>
      <c r="F200" s="377">
        <f>C200*D200</f>
        <v>0</v>
      </c>
      <c r="G200" s="54">
        <v>2150</v>
      </c>
      <c r="H200" s="12">
        <f t="shared" si="10"/>
        <v>0</v>
      </c>
      <c r="I200" s="494" t="s">
        <v>154</v>
      </c>
    </row>
    <row r="201" spans="1:9" ht="14.4" thickBot="1">
      <c r="A201" s="6"/>
      <c r="B201" s="11" t="s">
        <v>511</v>
      </c>
      <c r="C201" s="7"/>
      <c r="D201" s="71"/>
      <c r="E201" s="7"/>
      <c r="F201" s="71"/>
      <c r="G201" s="54"/>
      <c r="H201" s="371"/>
      <c r="I201" s="7"/>
    </row>
    <row r="202" spans="1:9">
      <c r="A202" s="6"/>
      <c r="B202" s="52" t="s">
        <v>513</v>
      </c>
      <c r="C202" s="563"/>
      <c r="D202" s="374"/>
      <c r="E202" s="511"/>
      <c r="F202" s="379">
        <f>C202*D202*E202</f>
        <v>0</v>
      </c>
      <c r="G202" s="54">
        <v>350</v>
      </c>
      <c r="H202" s="12">
        <f t="shared" si="10"/>
        <v>0</v>
      </c>
      <c r="I202" s="494" t="s">
        <v>110</v>
      </c>
    </row>
    <row r="203" spans="1:9">
      <c r="A203" s="6"/>
      <c r="B203" s="52" t="s">
        <v>514</v>
      </c>
      <c r="C203" s="563"/>
      <c r="D203" s="374"/>
      <c r="E203" s="512"/>
      <c r="F203" s="380">
        <f>C203*D203*E203</f>
        <v>0</v>
      </c>
      <c r="G203" s="54">
        <v>250</v>
      </c>
      <c r="H203" s="12">
        <f t="shared" si="10"/>
        <v>0</v>
      </c>
      <c r="I203" s="494" t="s">
        <v>110</v>
      </c>
    </row>
    <row r="204" spans="1:9">
      <c r="A204" s="6"/>
      <c r="B204" s="52" t="s">
        <v>515</v>
      </c>
      <c r="C204" s="563"/>
      <c r="D204" s="374"/>
      <c r="E204" s="512"/>
      <c r="F204" s="380">
        <f>C204*D204*E204</f>
        <v>0</v>
      </c>
      <c r="G204" s="54">
        <v>550</v>
      </c>
      <c r="H204" s="12">
        <f t="shared" si="10"/>
        <v>0</v>
      </c>
      <c r="I204" s="494" t="s">
        <v>110</v>
      </c>
    </row>
    <row r="205" spans="1:9">
      <c r="A205" s="6"/>
      <c r="B205" s="52" t="s">
        <v>516</v>
      </c>
      <c r="C205" s="563"/>
      <c r="D205" s="374"/>
      <c r="E205" s="512"/>
      <c r="F205" s="381">
        <f>C205*D205*E205</f>
        <v>0</v>
      </c>
      <c r="G205" s="54">
        <v>550</v>
      </c>
      <c r="H205" s="12">
        <f t="shared" si="10"/>
        <v>0</v>
      </c>
      <c r="I205" s="494" t="s">
        <v>110</v>
      </c>
    </row>
    <row r="206" spans="1:9">
      <c r="A206" s="6"/>
      <c r="B206" s="52" t="s">
        <v>518</v>
      </c>
      <c r="C206" s="569"/>
      <c r="D206" s="375"/>
      <c r="E206" s="514"/>
      <c r="F206" s="376">
        <f>C206*D206</f>
        <v>0</v>
      </c>
      <c r="G206" s="54">
        <v>1300</v>
      </c>
      <c r="H206" s="12">
        <f t="shared" si="10"/>
        <v>0</v>
      </c>
      <c r="I206" s="494" t="s">
        <v>154</v>
      </c>
    </row>
    <row r="207" spans="1:9" ht="14.4" thickBot="1">
      <c r="A207" s="6"/>
      <c r="B207" s="52" t="s">
        <v>519</v>
      </c>
      <c r="C207" s="569"/>
      <c r="D207" s="375"/>
      <c r="E207" s="515"/>
      <c r="F207" s="377">
        <f>C207*D207</f>
        <v>0</v>
      </c>
      <c r="G207" s="54">
        <v>1700</v>
      </c>
      <c r="H207" s="12">
        <f t="shared" si="10"/>
        <v>0</v>
      </c>
      <c r="I207" s="494" t="s">
        <v>154</v>
      </c>
    </row>
    <row r="208" spans="1:9" ht="14.4" thickBot="1">
      <c r="A208" s="6"/>
      <c r="B208" s="11" t="s">
        <v>512</v>
      </c>
      <c r="C208" s="7"/>
      <c r="D208" s="71"/>
      <c r="E208" s="7"/>
      <c r="F208" s="71"/>
      <c r="G208" s="7"/>
      <c r="H208" s="371"/>
      <c r="I208" s="7"/>
    </row>
    <row r="209" spans="1:9">
      <c r="A209" s="6"/>
      <c r="B209" s="52" t="s">
        <v>513</v>
      </c>
      <c r="C209" s="563"/>
      <c r="D209" s="374"/>
      <c r="E209" s="511"/>
      <c r="F209" s="379">
        <f>C209*D209*E209</f>
        <v>0</v>
      </c>
      <c r="G209" s="54">
        <v>750</v>
      </c>
      <c r="H209" s="12">
        <f t="shared" si="10"/>
        <v>0</v>
      </c>
      <c r="I209" s="494" t="s">
        <v>110</v>
      </c>
    </row>
    <row r="210" spans="1:9">
      <c r="A210" s="6"/>
      <c r="B210" s="52" t="s">
        <v>514</v>
      </c>
      <c r="C210" s="563"/>
      <c r="D210" s="374"/>
      <c r="E210" s="512"/>
      <c r="F210" s="380">
        <f>C210*D210*E210</f>
        <v>0</v>
      </c>
      <c r="G210" s="54">
        <v>550</v>
      </c>
      <c r="H210" s="12">
        <f t="shared" si="10"/>
        <v>0</v>
      </c>
      <c r="I210" s="494" t="s">
        <v>110</v>
      </c>
    </row>
    <row r="211" spans="1:9">
      <c r="A211" s="6"/>
      <c r="B211" s="52" t="s">
        <v>515</v>
      </c>
      <c r="C211" s="563"/>
      <c r="D211" s="374"/>
      <c r="E211" s="512"/>
      <c r="F211" s="380">
        <f>C211*D211*E211</f>
        <v>0</v>
      </c>
      <c r="G211" s="54">
        <v>850</v>
      </c>
      <c r="H211" s="12">
        <f t="shared" si="10"/>
        <v>0</v>
      </c>
      <c r="I211" s="494" t="s">
        <v>110</v>
      </c>
    </row>
    <row r="212" spans="1:9">
      <c r="A212" s="6"/>
      <c r="B212" s="52" t="s">
        <v>516</v>
      </c>
      <c r="C212" s="563"/>
      <c r="D212" s="374"/>
      <c r="E212" s="512"/>
      <c r="F212" s="381">
        <f>C212*D212*E212</f>
        <v>0</v>
      </c>
      <c r="G212" s="54">
        <v>850</v>
      </c>
      <c r="H212" s="12">
        <f t="shared" si="10"/>
        <v>0</v>
      </c>
      <c r="I212" s="494" t="s">
        <v>110</v>
      </c>
    </row>
    <row r="213" spans="1:9">
      <c r="A213" s="6"/>
      <c r="B213" s="52" t="s">
        <v>518</v>
      </c>
      <c r="C213" s="569"/>
      <c r="D213" s="375"/>
      <c r="E213" s="514"/>
      <c r="F213" s="376">
        <f>C213*D213</f>
        <v>0</v>
      </c>
      <c r="G213" s="54">
        <v>2200</v>
      </c>
      <c r="H213" s="12">
        <f t="shared" si="10"/>
        <v>0</v>
      </c>
      <c r="I213" s="494" t="s">
        <v>154</v>
      </c>
    </row>
    <row r="214" spans="1:9" ht="14.4" thickBot="1">
      <c r="A214" s="6"/>
      <c r="B214" s="52" t="s">
        <v>519</v>
      </c>
      <c r="C214" s="569"/>
      <c r="D214" s="375"/>
      <c r="E214" s="515"/>
      <c r="F214" s="377">
        <f>C214*D214</f>
        <v>0</v>
      </c>
      <c r="G214" s="54">
        <v>2700</v>
      </c>
      <c r="H214" s="12">
        <f t="shared" si="10"/>
        <v>0</v>
      </c>
      <c r="I214" s="494" t="s">
        <v>154</v>
      </c>
    </row>
    <row r="215" spans="1:9" ht="14.4" thickBot="1">
      <c r="A215" s="6"/>
      <c r="B215" s="11" t="s">
        <v>517</v>
      </c>
      <c r="C215" s="7"/>
      <c r="D215" s="71"/>
      <c r="E215" s="7"/>
      <c r="F215" s="71"/>
      <c r="G215" s="54"/>
      <c r="H215" s="371"/>
      <c r="I215" s="7"/>
    </row>
    <row r="216" spans="1:9">
      <c r="A216" s="6"/>
      <c r="B216" s="52" t="s">
        <v>513</v>
      </c>
      <c r="C216" s="563"/>
      <c r="D216" s="374"/>
      <c r="E216" s="511"/>
      <c r="F216" s="379">
        <f>C216*D216*E216</f>
        <v>0</v>
      </c>
      <c r="G216" s="54">
        <v>850</v>
      </c>
      <c r="H216" s="12">
        <f t="shared" si="10"/>
        <v>0</v>
      </c>
      <c r="I216" s="494" t="s">
        <v>110</v>
      </c>
    </row>
    <row r="217" spans="1:9">
      <c r="A217" s="6"/>
      <c r="B217" s="52" t="s">
        <v>514</v>
      </c>
      <c r="C217" s="563"/>
      <c r="D217" s="374"/>
      <c r="E217" s="512"/>
      <c r="F217" s="380">
        <f>C217*D217*E217</f>
        <v>0</v>
      </c>
      <c r="G217" s="54">
        <v>650</v>
      </c>
      <c r="H217" s="12">
        <f t="shared" si="10"/>
        <v>0</v>
      </c>
      <c r="I217" s="494" t="s">
        <v>110</v>
      </c>
    </row>
    <row r="218" spans="1:9">
      <c r="A218" s="6"/>
      <c r="B218" s="52" t="s">
        <v>515</v>
      </c>
      <c r="C218" s="563"/>
      <c r="D218" s="374"/>
      <c r="E218" s="512"/>
      <c r="F218" s="380">
        <f>C218*D218*E218</f>
        <v>0</v>
      </c>
      <c r="G218" s="54">
        <v>950</v>
      </c>
      <c r="H218" s="12">
        <f t="shared" si="10"/>
        <v>0</v>
      </c>
      <c r="I218" s="494" t="s">
        <v>110</v>
      </c>
    </row>
    <row r="219" spans="1:9">
      <c r="A219" s="6"/>
      <c r="B219" s="52" t="s">
        <v>516</v>
      </c>
      <c r="C219" s="563"/>
      <c r="D219" s="374"/>
      <c r="E219" s="512"/>
      <c r="F219" s="381">
        <f>C219*D219*E219</f>
        <v>0</v>
      </c>
      <c r="G219" s="54">
        <v>950</v>
      </c>
      <c r="H219" s="12">
        <f t="shared" si="10"/>
        <v>0</v>
      </c>
      <c r="I219" s="494" t="s">
        <v>110</v>
      </c>
    </row>
    <row r="220" spans="1:9">
      <c r="A220" s="6"/>
      <c r="B220" s="52" t="s">
        <v>518</v>
      </c>
      <c r="C220" s="569"/>
      <c r="D220" s="375"/>
      <c r="E220" s="514"/>
      <c r="F220" s="376">
        <f>C220*D220</f>
        <v>0</v>
      </c>
      <c r="G220" s="54">
        <v>2900</v>
      </c>
      <c r="H220" s="12">
        <f t="shared" si="10"/>
        <v>0</v>
      </c>
      <c r="I220" s="494" t="s">
        <v>154</v>
      </c>
    </row>
    <row r="221" spans="1:9" ht="14.4" thickBot="1">
      <c r="A221" s="6"/>
      <c r="B221" s="52" t="s">
        <v>519</v>
      </c>
      <c r="C221" s="569"/>
      <c r="D221" s="375"/>
      <c r="E221" s="515"/>
      <c r="F221" s="377">
        <f>C221*D221</f>
        <v>0</v>
      </c>
      <c r="G221" s="54">
        <v>3300</v>
      </c>
      <c r="H221" s="12">
        <f t="shared" si="10"/>
        <v>0</v>
      </c>
      <c r="I221" s="494" t="s">
        <v>154</v>
      </c>
    </row>
    <row r="222" spans="1:9">
      <c r="A222" s="6"/>
      <c r="B222" s="52"/>
      <c r="C222" s="570"/>
      <c r="D222" s="372"/>
      <c r="E222" s="7"/>
      <c r="F222" s="71"/>
      <c r="G222" s="54"/>
      <c r="H222" s="371"/>
    </row>
    <row r="223" spans="1:9">
      <c r="A223" s="367">
        <v>0</v>
      </c>
      <c r="B223" s="7" t="s">
        <v>70</v>
      </c>
      <c r="C223" s="24"/>
      <c r="D223" s="378">
        <f>SUM(F188:F221)</f>
        <v>0</v>
      </c>
      <c r="E223" s="494"/>
      <c r="F223" s="402"/>
      <c r="G223" s="54">
        <v>50</v>
      </c>
      <c r="H223" s="12">
        <f>IF(A223=1,+D223*G223,0)</f>
        <v>0</v>
      </c>
    </row>
    <row r="224" spans="1:9">
      <c r="A224" s="367">
        <v>0</v>
      </c>
      <c r="B224" s="7" t="s">
        <v>520</v>
      </c>
      <c r="C224" s="24"/>
      <c r="D224" s="378">
        <f>SUM(F188:F221)</f>
        <v>0</v>
      </c>
      <c r="E224" s="494"/>
      <c r="F224" s="402"/>
      <c r="G224" s="54">
        <v>250</v>
      </c>
      <c r="H224" s="12">
        <f>IF(A224=1,+D224*G224,0)</f>
        <v>0</v>
      </c>
    </row>
    <row r="225" spans="1:10">
      <c r="A225" s="367">
        <v>0</v>
      </c>
      <c r="B225" s="7" t="s">
        <v>387</v>
      </c>
      <c r="C225" s="24"/>
      <c r="D225" s="378">
        <f>SUM(F188:F221)</f>
        <v>0</v>
      </c>
      <c r="E225" s="494"/>
      <c r="F225" s="402"/>
      <c r="G225" s="54">
        <v>350</v>
      </c>
      <c r="H225" s="12">
        <f>IF(A225=1,+D225*G225,0)</f>
        <v>0</v>
      </c>
    </row>
    <row r="226" spans="1:10">
      <c r="A226" s="367">
        <v>0</v>
      </c>
      <c r="B226" s="7" t="s">
        <v>451</v>
      </c>
      <c r="C226" s="24"/>
      <c r="D226" s="378">
        <f>SUM(F188:F221)</f>
        <v>0</v>
      </c>
      <c r="E226" s="494"/>
      <c r="F226" s="402"/>
      <c r="G226" s="54">
        <v>450</v>
      </c>
      <c r="H226" s="12">
        <f>IF(A226=1,+D226*G226,0)</f>
        <v>0</v>
      </c>
    </row>
    <row r="227" spans="1:10" ht="14.4" thickBot="1">
      <c r="A227" s="6"/>
      <c r="B227" s="7"/>
      <c r="C227" s="7"/>
      <c r="D227" s="7"/>
      <c r="E227" s="7"/>
      <c r="F227" s="250"/>
      <c r="G227" s="54"/>
      <c r="H227" s="72"/>
    </row>
    <row r="228" spans="1:10" ht="18.600000000000001" thickBot="1">
      <c r="A228" s="6"/>
      <c r="B228" s="333" t="s">
        <v>40</v>
      </c>
      <c r="C228" s="516"/>
      <c r="D228" s="334"/>
      <c r="E228" s="516"/>
      <c r="F228" s="334"/>
      <c r="G228" s="516"/>
      <c r="H228" s="124">
        <f>SUM(H229:H246)</f>
        <v>0</v>
      </c>
    </row>
    <row r="229" spans="1:10" ht="14.4" thickBot="1">
      <c r="A229" s="6"/>
      <c r="B229" s="7"/>
      <c r="C229" s="7"/>
      <c r="D229" s="7"/>
      <c r="E229" s="7"/>
      <c r="F229" s="250"/>
      <c r="G229" s="54"/>
      <c r="H229" s="55"/>
    </row>
    <row r="230" spans="1:10">
      <c r="A230" s="6"/>
      <c r="B230" s="59" t="s">
        <v>522</v>
      </c>
      <c r="C230" s="569"/>
      <c r="D230" s="375"/>
      <c r="E230" s="517"/>
      <c r="F230" s="383">
        <f>C230*D230</f>
        <v>0</v>
      </c>
      <c r="G230" s="54">
        <v>1200</v>
      </c>
      <c r="H230" s="12">
        <f t="shared" ref="H230:H239" si="11">F230*G230</f>
        <v>0</v>
      </c>
      <c r="I230" s="494" t="s">
        <v>154</v>
      </c>
    </row>
    <row r="231" spans="1:10" ht="14.4" thickBot="1">
      <c r="A231" s="6"/>
      <c r="B231" s="59" t="s">
        <v>521</v>
      </c>
      <c r="C231" s="569"/>
      <c r="D231" s="375"/>
      <c r="E231" s="514"/>
      <c r="F231" s="384">
        <f>C231*D231</f>
        <v>0</v>
      </c>
      <c r="G231" s="54">
        <v>1600</v>
      </c>
      <c r="H231" s="12">
        <f t="shared" si="11"/>
        <v>0</v>
      </c>
      <c r="I231" s="494" t="s">
        <v>154</v>
      </c>
    </row>
    <row r="232" spans="1:10">
      <c r="A232" s="6"/>
      <c r="B232" s="59" t="s">
        <v>523</v>
      </c>
      <c r="C232" s="569"/>
      <c r="D232" s="375"/>
      <c r="E232" s="514"/>
      <c r="F232" s="383">
        <f>C232*D232</f>
        <v>0</v>
      </c>
      <c r="G232" s="54">
        <v>1500</v>
      </c>
      <c r="H232" s="12">
        <f t="shared" si="11"/>
        <v>0</v>
      </c>
      <c r="I232" s="494" t="s">
        <v>154</v>
      </c>
    </row>
    <row r="233" spans="1:10" ht="14.4" thickBot="1">
      <c r="A233" s="6"/>
      <c r="B233" s="59" t="s">
        <v>524</v>
      </c>
      <c r="C233" s="569"/>
      <c r="D233" s="375"/>
      <c r="E233" s="514"/>
      <c r="F233" s="384">
        <f>C233*D233</f>
        <v>0</v>
      </c>
      <c r="G233" s="54">
        <v>1900</v>
      </c>
      <c r="H233" s="12">
        <f t="shared" si="11"/>
        <v>0</v>
      </c>
      <c r="I233" s="494" t="s">
        <v>154</v>
      </c>
    </row>
    <row r="234" spans="1:10">
      <c r="A234" s="6"/>
      <c r="B234" s="52" t="s">
        <v>525</v>
      </c>
      <c r="C234" s="563"/>
      <c r="D234" s="374"/>
      <c r="E234" s="512"/>
      <c r="F234" s="385">
        <f>C234*D234*E234</f>
        <v>0</v>
      </c>
      <c r="G234" s="54">
        <v>250</v>
      </c>
      <c r="H234" s="12">
        <f t="shared" si="11"/>
        <v>0</v>
      </c>
      <c r="I234" s="494" t="s">
        <v>110</v>
      </c>
      <c r="J234" s="382"/>
    </row>
    <row r="235" spans="1:10">
      <c r="A235" s="6"/>
      <c r="B235" s="52"/>
      <c r="C235" s="563"/>
      <c r="D235" s="374"/>
      <c r="E235" s="512"/>
      <c r="F235" s="385">
        <f>C235*D235*E235</f>
        <v>0</v>
      </c>
      <c r="G235" s="54">
        <v>250</v>
      </c>
      <c r="H235" s="12">
        <f t="shared" si="11"/>
        <v>0</v>
      </c>
      <c r="I235" s="494" t="s">
        <v>110</v>
      </c>
    </row>
    <row r="236" spans="1:10">
      <c r="A236" s="6"/>
      <c r="B236" s="52" t="s">
        <v>426</v>
      </c>
      <c r="C236" s="563"/>
      <c r="D236" s="374"/>
      <c r="E236" s="512"/>
      <c r="F236" s="385">
        <f>C236*D236*E236</f>
        <v>0</v>
      </c>
      <c r="G236" s="54">
        <v>150</v>
      </c>
      <c r="H236" s="12">
        <f t="shared" si="11"/>
        <v>0</v>
      </c>
      <c r="I236" s="494" t="s">
        <v>110</v>
      </c>
    </row>
    <row r="237" spans="1:10">
      <c r="A237" s="6"/>
      <c r="B237" s="52" t="s">
        <v>526</v>
      </c>
      <c r="C237" s="563"/>
      <c r="D237" s="374"/>
      <c r="E237" s="513"/>
      <c r="F237" s="385">
        <f>C237*D237*E237</f>
        <v>0</v>
      </c>
      <c r="G237" s="54">
        <v>350</v>
      </c>
      <c r="H237" s="12">
        <f t="shared" si="11"/>
        <v>0</v>
      </c>
      <c r="I237" s="494" t="s">
        <v>110</v>
      </c>
    </row>
    <row r="238" spans="1:10">
      <c r="A238" s="6"/>
      <c r="B238" s="7" t="s">
        <v>527</v>
      </c>
      <c r="C238" s="565"/>
      <c r="D238" s="338"/>
      <c r="E238" s="504" t="s">
        <v>153</v>
      </c>
      <c r="F238" s="339">
        <f>C238*D238</f>
        <v>0</v>
      </c>
      <c r="G238" s="54">
        <v>370</v>
      </c>
      <c r="H238" s="205">
        <f t="shared" si="11"/>
        <v>0</v>
      </c>
    </row>
    <row r="239" spans="1:10" ht="14.4" thickBot="1">
      <c r="A239" s="6"/>
      <c r="B239" s="7" t="s">
        <v>530</v>
      </c>
      <c r="C239" s="565"/>
      <c r="D239" s="338"/>
      <c r="E239" s="504" t="s">
        <v>153</v>
      </c>
      <c r="F239" s="339">
        <f>C239*D239</f>
        <v>0</v>
      </c>
      <c r="G239" s="54">
        <v>450</v>
      </c>
      <c r="H239" s="205">
        <f t="shared" si="11"/>
        <v>0</v>
      </c>
    </row>
    <row r="240" spans="1:10" ht="14.4" thickBot="1">
      <c r="A240" s="6"/>
      <c r="B240" s="52" t="s">
        <v>529</v>
      </c>
      <c r="C240" s="7"/>
      <c r="D240" s="7"/>
      <c r="E240" s="105" t="s">
        <v>153</v>
      </c>
      <c r="F240" s="344"/>
      <c r="G240" s="54">
        <v>190</v>
      </c>
      <c r="H240" s="12">
        <f t="shared" ref="H240:H245" si="12">F240*G240</f>
        <v>0</v>
      </c>
    </row>
    <row r="241" spans="1:13" ht="14.4" thickBot="1">
      <c r="A241" s="6"/>
      <c r="B241" s="52" t="s">
        <v>528</v>
      </c>
      <c r="C241" s="7"/>
      <c r="D241" s="7"/>
      <c r="E241" s="105" t="s">
        <v>153</v>
      </c>
      <c r="F241" s="344"/>
      <c r="G241" s="54">
        <v>240</v>
      </c>
      <c r="H241" s="12">
        <f>F241*G241</f>
        <v>0</v>
      </c>
    </row>
    <row r="242" spans="1:13" ht="14.4" thickBot="1">
      <c r="A242" s="6"/>
      <c r="B242" s="52" t="s">
        <v>531</v>
      </c>
      <c r="C242" s="7"/>
      <c r="D242" s="7"/>
      <c r="E242" s="105" t="s">
        <v>153</v>
      </c>
      <c r="F242" s="344"/>
      <c r="G242" s="54">
        <v>450</v>
      </c>
      <c r="H242" s="12">
        <f>F242*G242</f>
        <v>0</v>
      </c>
    </row>
    <row r="243" spans="1:13" ht="14.4" thickBot="1">
      <c r="A243" s="6"/>
      <c r="B243" s="7"/>
      <c r="C243" s="7"/>
      <c r="D243" s="7"/>
      <c r="E243" s="7"/>
      <c r="F243" s="7"/>
      <c r="G243" s="7"/>
      <c r="H243" s="371"/>
      <c r="I243" s="619">
        <f>+F243*G243</f>
        <v>0</v>
      </c>
      <c r="J243" s="620"/>
    </row>
    <row r="244" spans="1:13" ht="14.4" thickBot="1">
      <c r="A244" s="6"/>
      <c r="B244" s="102" t="s">
        <v>275</v>
      </c>
      <c r="C244" s="571" t="s">
        <v>307</v>
      </c>
      <c r="D244" s="386" t="s">
        <v>532</v>
      </c>
      <c r="E244" s="518" t="s">
        <v>276</v>
      </c>
      <c r="F244" s="387"/>
      <c r="G244" s="54">
        <v>12000</v>
      </c>
      <c r="H244" s="197">
        <f t="shared" si="12"/>
        <v>0</v>
      </c>
    </row>
    <row r="245" spans="1:13" ht="14.4" thickBot="1">
      <c r="A245" s="6"/>
      <c r="B245" s="7"/>
      <c r="C245" s="571" t="s">
        <v>308</v>
      </c>
      <c r="D245" s="102"/>
      <c r="E245" s="496" t="s">
        <v>276</v>
      </c>
      <c r="F245" s="373"/>
      <c r="G245" s="54">
        <v>3000</v>
      </c>
      <c r="H245" s="12">
        <f t="shared" si="12"/>
        <v>0</v>
      </c>
    </row>
    <row r="246" spans="1:13" ht="12" customHeight="1" thickBot="1">
      <c r="A246" s="6"/>
      <c r="B246" s="7"/>
      <c r="C246" s="7"/>
      <c r="D246" s="7"/>
      <c r="E246" s="7"/>
      <c r="F246" s="250"/>
      <c r="G246" s="54"/>
      <c r="H246" s="55"/>
    </row>
    <row r="247" spans="1:13" ht="18.600000000000001" thickBot="1">
      <c r="A247" s="6"/>
      <c r="B247" s="333" t="s">
        <v>41</v>
      </c>
      <c r="C247" s="516"/>
      <c r="D247" s="334"/>
      <c r="E247" s="516"/>
      <c r="F247" s="334"/>
      <c r="G247" s="516"/>
      <c r="H247" s="124">
        <f>IF(A270=1,H270,H272)</f>
        <v>0</v>
      </c>
      <c r="J247" s="58"/>
    </row>
    <row r="248" spans="1:13" ht="14.4" thickBot="1">
      <c r="A248" s="6"/>
      <c r="B248" s="7"/>
      <c r="C248" s="7"/>
      <c r="D248" s="7"/>
      <c r="E248" s="7"/>
      <c r="F248" s="250"/>
      <c r="G248" s="54"/>
      <c r="H248" s="55"/>
    </row>
    <row r="249" spans="1:13">
      <c r="A249" s="10">
        <v>0</v>
      </c>
      <c r="B249" s="57" t="s">
        <v>533</v>
      </c>
      <c r="C249" s="7" t="s">
        <v>7</v>
      </c>
      <c r="D249" s="7"/>
      <c r="E249" s="7" t="s">
        <v>110</v>
      </c>
      <c r="F249" s="397"/>
      <c r="G249" s="54">
        <v>48</v>
      </c>
      <c r="H249" s="150">
        <f t="shared" ref="H249:H267" si="13">F249*G249</f>
        <v>0</v>
      </c>
      <c r="I249" s="388"/>
      <c r="J249" s="389" t="s">
        <v>298</v>
      </c>
      <c r="K249" s="390"/>
      <c r="L249" s="315"/>
    </row>
    <row r="250" spans="1:13">
      <c r="A250" s="10">
        <v>0</v>
      </c>
      <c r="B250" s="57" t="s">
        <v>534</v>
      </c>
      <c r="C250" s="7" t="s">
        <v>7</v>
      </c>
      <c r="D250" s="7"/>
      <c r="E250" s="7" t="s">
        <v>110</v>
      </c>
      <c r="F250" s="398"/>
      <c r="G250" s="54">
        <v>38</v>
      </c>
      <c r="H250" s="150">
        <f>F250*G250</f>
        <v>0</v>
      </c>
      <c r="I250" s="391"/>
      <c r="J250" s="392" t="s">
        <v>298</v>
      </c>
      <c r="K250" s="393"/>
      <c r="L250" s="317"/>
    </row>
    <row r="251" spans="1:13">
      <c r="A251" s="10">
        <v>0</v>
      </c>
      <c r="B251" s="57" t="s">
        <v>164</v>
      </c>
      <c r="C251" s="7" t="s">
        <v>535</v>
      </c>
      <c r="D251" s="7"/>
      <c r="E251" s="7" t="s">
        <v>110</v>
      </c>
      <c r="F251" s="398"/>
      <c r="G251" s="54">
        <v>36</v>
      </c>
      <c r="H251" s="150">
        <f t="shared" si="13"/>
        <v>0</v>
      </c>
      <c r="I251" s="391"/>
      <c r="J251" s="392" t="s">
        <v>298</v>
      </c>
      <c r="K251" s="393"/>
      <c r="L251" s="317"/>
      <c r="M251" s="53"/>
    </row>
    <row r="252" spans="1:13">
      <c r="A252" s="10"/>
      <c r="B252" s="57"/>
      <c r="C252" s="7" t="s">
        <v>536</v>
      </c>
      <c r="D252" s="7"/>
      <c r="E252" s="7" t="s">
        <v>110</v>
      </c>
      <c r="F252" s="398"/>
      <c r="G252" s="54">
        <v>46</v>
      </c>
      <c r="H252" s="150"/>
      <c r="I252" s="391"/>
      <c r="J252" s="392" t="s">
        <v>298</v>
      </c>
      <c r="K252" s="393"/>
      <c r="L252" s="317"/>
      <c r="M252" s="53"/>
    </row>
    <row r="253" spans="1:13">
      <c r="A253" s="10"/>
      <c r="B253" s="57" t="s">
        <v>537</v>
      </c>
      <c r="C253" s="7" t="s">
        <v>538</v>
      </c>
      <c r="D253" s="7"/>
      <c r="E253" s="7" t="s">
        <v>110</v>
      </c>
      <c r="F253" s="398"/>
      <c r="G253" s="54">
        <v>85</v>
      </c>
      <c r="H253" s="150">
        <f>F253*G253</f>
        <v>0</v>
      </c>
      <c r="I253" s="391"/>
      <c r="J253" s="392" t="s">
        <v>298</v>
      </c>
      <c r="K253" s="393"/>
      <c r="L253" s="317"/>
      <c r="M253" s="53"/>
    </row>
    <row r="254" spans="1:13">
      <c r="A254" s="10"/>
      <c r="B254" s="57"/>
      <c r="C254" s="7" t="s">
        <v>539</v>
      </c>
      <c r="D254" s="7"/>
      <c r="E254" s="7" t="s">
        <v>110</v>
      </c>
      <c r="F254" s="398"/>
      <c r="G254" s="54">
        <v>115</v>
      </c>
      <c r="H254" s="150">
        <f>F254*G254</f>
        <v>0</v>
      </c>
      <c r="I254" s="391"/>
      <c r="J254" s="392" t="s">
        <v>298</v>
      </c>
      <c r="K254" s="393"/>
      <c r="L254" s="317"/>
      <c r="M254" s="53"/>
    </row>
    <row r="255" spans="1:13">
      <c r="A255" s="10">
        <v>0</v>
      </c>
      <c r="B255" s="57" t="s">
        <v>540</v>
      </c>
      <c r="C255" s="7"/>
      <c r="D255" s="7"/>
      <c r="E255" s="7" t="s">
        <v>110</v>
      </c>
      <c r="F255" s="398"/>
      <c r="G255" s="54">
        <v>42</v>
      </c>
      <c r="H255" s="150">
        <f t="shared" si="13"/>
        <v>0</v>
      </c>
      <c r="I255" s="391"/>
      <c r="J255" s="392" t="s">
        <v>298</v>
      </c>
      <c r="K255" s="393"/>
      <c r="L255" s="317"/>
      <c r="M255" s="7"/>
    </row>
    <row r="256" spans="1:13">
      <c r="A256" s="10"/>
      <c r="B256" s="57" t="s">
        <v>540</v>
      </c>
      <c r="C256" s="7" t="s">
        <v>541</v>
      </c>
      <c r="D256" s="7"/>
      <c r="E256" s="7" t="s">
        <v>110</v>
      </c>
      <c r="F256" s="398"/>
      <c r="G256" s="54">
        <v>55</v>
      </c>
      <c r="H256" s="150">
        <f t="shared" si="13"/>
        <v>0</v>
      </c>
      <c r="I256" s="391"/>
      <c r="J256" s="392" t="s">
        <v>298</v>
      </c>
      <c r="K256" s="393"/>
      <c r="L256" s="317"/>
      <c r="M256" s="7"/>
    </row>
    <row r="257" spans="1:13">
      <c r="A257" s="10"/>
      <c r="B257" s="57" t="s">
        <v>165</v>
      </c>
      <c r="C257" s="7" t="s">
        <v>409</v>
      </c>
      <c r="D257" s="7"/>
      <c r="E257" s="7" t="s">
        <v>110</v>
      </c>
      <c r="F257" s="398"/>
      <c r="G257" s="54">
        <v>30</v>
      </c>
      <c r="H257" s="150">
        <f>F257*G257</f>
        <v>0</v>
      </c>
      <c r="I257" s="391"/>
      <c r="J257" s="392" t="s">
        <v>298</v>
      </c>
      <c r="K257" s="393"/>
      <c r="L257" s="317"/>
      <c r="M257" s="7"/>
    </row>
    <row r="258" spans="1:13">
      <c r="A258" s="10">
        <v>0</v>
      </c>
      <c r="B258" s="57" t="s">
        <v>166</v>
      </c>
      <c r="C258" s="7" t="s">
        <v>542</v>
      </c>
      <c r="D258" s="7"/>
      <c r="E258" s="7" t="s">
        <v>110</v>
      </c>
      <c r="F258" s="398"/>
      <c r="G258" s="54">
        <v>15</v>
      </c>
      <c r="H258" s="150">
        <f t="shared" si="13"/>
        <v>0</v>
      </c>
      <c r="I258" s="391"/>
      <c r="J258" s="392" t="s">
        <v>298</v>
      </c>
      <c r="K258" s="393"/>
      <c r="L258" s="317"/>
      <c r="M258" s="7"/>
    </row>
    <row r="259" spans="1:13">
      <c r="A259" s="10"/>
      <c r="B259" s="57"/>
      <c r="C259" s="7" t="s">
        <v>543</v>
      </c>
      <c r="D259" s="7"/>
      <c r="E259" s="7" t="s">
        <v>110</v>
      </c>
      <c r="F259" s="398"/>
      <c r="G259" s="54">
        <v>25</v>
      </c>
      <c r="H259" s="150">
        <f t="shared" si="13"/>
        <v>0</v>
      </c>
      <c r="I259" s="391"/>
      <c r="J259" s="392" t="s">
        <v>298</v>
      </c>
      <c r="K259" s="393"/>
      <c r="L259" s="317"/>
      <c r="M259" s="7"/>
    </row>
    <row r="260" spans="1:13">
      <c r="A260" s="10">
        <v>0</v>
      </c>
      <c r="B260" s="57" t="s">
        <v>167</v>
      </c>
      <c r="C260" s="7" t="s">
        <v>170</v>
      </c>
      <c r="D260" s="7"/>
      <c r="E260" s="7" t="s">
        <v>110</v>
      </c>
      <c r="F260" s="399">
        <f>+F249+F251*2+F255</f>
        <v>0</v>
      </c>
      <c r="G260" s="54">
        <v>10</v>
      </c>
      <c r="H260" s="150">
        <f t="shared" si="13"/>
        <v>0</v>
      </c>
      <c r="I260" s="391"/>
      <c r="J260" s="392" t="s">
        <v>298</v>
      </c>
      <c r="K260" s="393"/>
      <c r="L260" s="317"/>
      <c r="M260" s="7"/>
    </row>
    <row r="261" spans="1:13">
      <c r="A261" s="10">
        <v>0</v>
      </c>
      <c r="B261" s="57" t="s">
        <v>168</v>
      </c>
      <c r="C261" s="601" t="s">
        <v>6</v>
      </c>
      <c r="D261" s="601"/>
      <c r="E261" s="7" t="s">
        <v>110</v>
      </c>
      <c r="F261" s="398"/>
      <c r="G261" s="54">
        <v>55</v>
      </c>
      <c r="H261" s="150">
        <f t="shared" si="13"/>
        <v>0</v>
      </c>
      <c r="I261" s="391"/>
      <c r="J261" s="392" t="s">
        <v>298</v>
      </c>
      <c r="K261" s="393"/>
      <c r="L261" s="317"/>
      <c r="M261" s="53"/>
    </row>
    <row r="262" spans="1:13">
      <c r="A262" s="10">
        <v>0</v>
      </c>
      <c r="B262" s="57" t="s">
        <v>169</v>
      </c>
      <c r="C262" s="7"/>
      <c r="D262" s="7"/>
      <c r="E262" s="7" t="s">
        <v>110</v>
      </c>
      <c r="F262" s="398"/>
      <c r="G262" s="54">
        <v>50</v>
      </c>
      <c r="H262" s="150">
        <f t="shared" si="13"/>
        <v>0</v>
      </c>
      <c r="I262" s="391"/>
      <c r="J262" s="392" t="s">
        <v>298</v>
      </c>
      <c r="K262" s="393"/>
      <c r="L262" s="317"/>
    </row>
    <row r="263" spans="1:13">
      <c r="A263" s="10">
        <v>0</v>
      </c>
      <c r="B263" s="57" t="s">
        <v>309</v>
      </c>
      <c r="C263" s="7" t="s">
        <v>6</v>
      </c>
      <c r="D263" s="73"/>
      <c r="E263" s="7" t="s">
        <v>110</v>
      </c>
      <c r="F263" s="398"/>
      <c r="G263" s="54">
        <v>55</v>
      </c>
      <c r="H263" s="150">
        <f t="shared" si="13"/>
        <v>0</v>
      </c>
      <c r="I263" s="391"/>
      <c r="J263" s="392" t="s">
        <v>298</v>
      </c>
      <c r="K263" s="393"/>
      <c r="L263" s="317"/>
    </row>
    <row r="264" spans="1:13">
      <c r="A264" s="10">
        <v>0</v>
      </c>
      <c r="B264" s="57" t="s">
        <v>182</v>
      </c>
      <c r="C264" s="7" t="s">
        <v>6</v>
      </c>
      <c r="D264" s="7"/>
      <c r="E264" s="7" t="s">
        <v>110</v>
      </c>
      <c r="F264" s="398"/>
      <c r="G264" s="54">
        <v>55</v>
      </c>
      <c r="H264" s="150">
        <f t="shared" si="13"/>
        <v>0</v>
      </c>
      <c r="I264" s="391"/>
      <c r="J264" s="392" t="s">
        <v>298</v>
      </c>
      <c r="K264" s="393"/>
      <c r="L264" s="317"/>
    </row>
    <row r="265" spans="1:13">
      <c r="A265" s="10">
        <v>0</v>
      </c>
      <c r="B265" s="57" t="s">
        <v>183</v>
      </c>
      <c r="C265" s="7" t="s">
        <v>6</v>
      </c>
      <c r="D265" s="7"/>
      <c r="E265" s="7" t="s">
        <v>110</v>
      </c>
      <c r="F265" s="398"/>
      <c r="G265" s="54">
        <v>95</v>
      </c>
      <c r="H265" s="150">
        <f t="shared" si="13"/>
        <v>0</v>
      </c>
      <c r="I265" s="391"/>
      <c r="J265" s="392" t="s">
        <v>298</v>
      </c>
      <c r="K265" s="393"/>
      <c r="L265" s="317"/>
    </row>
    <row r="266" spans="1:13" ht="14.4" thickBot="1">
      <c r="A266" s="10">
        <v>0</v>
      </c>
      <c r="B266" s="57" t="s">
        <v>287</v>
      </c>
      <c r="C266" s="7" t="s">
        <v>288</v>
      </c>
      <c r="D266" s="7"/>
      <c r="E266" s="7" t="s">
        <v>154</v>
      </c>
      <c r="F266" s="398"/>
      <c r="G266" s="54">
        <v>350</v>
      </c>
      <c r="H266" s="150">
        <f t="shared" si="13"/>
        <v>0</v>
      </c>
      <c r="I266" s="394"/>
      <c r="J266" s="395" t="s">
        <v>298</v>
      </c>
      <c r="K266" s="396"/>
      <c r="L266" s="318"/>
    </row>
    <row r="267" spans="1:13">
      <c r="A267" s="10">
        <v>0</v>
      </c>
      <c r="B267" s="57" t="s">
        <v>427</v>
      </c>
      <c r="C267" s="7" t="s">
        <v>428</v>
      </c>
      <c r="D267" s="71"/>
      <c r="E267" s="7" t="s">
        <v>110</v>
      </c>
      <c r="F267" s="398"/>
      <c r="G267" s="54">
        <v>100</v>
      </c>
      <c r="H267" s="12">
        <f t="shared" si="13"/>
        <v>0</v>
      </c>
      <c r="K267" s="53"/>
      <c r="L267" s="53"/>
    </row>
    <row r="268" spans="1:13" ht="14.4" thickBot="1">
      <c r="A268" s="6"/>
      <c r="B268" s="57" t="s">
        <v>452</v>
      </c>
      <c r="C268" s="7" t="s">
        <v>453</v>
      </c>
      <c r="D268" s="7"/>
      <c r="E268" s="7" t="s">
        <v>110</v>
      </c>
      <c r="F268" s="400"/>
      <c r="G268" s="54">
        <v>350</v>
      </c>
      <c r="H268" s="12"/>
      <c r="K268" s="53"/>
      <c r="L268" s="53"/>
    </row>
    <row r="269" spans="1:13" ht="13.5" customHeight="1" thickBot="1">
      <c r="A269" s="6"/>
      <c r="B269" s="57"/>
      <c r="C269" s="7"/>
      <c r="D269" s="7"/>
      <c r="E269" s="7"/>
      <c r="F269" s="260"/>
      <c r="G269" s="54"/>
      <c r="H269" s="55"/>
    </row>
    <row r="270" spans="1:13" ht="14.4" thickBot="1">
      <c r="A270" s="367"/>
      <c r="B270" s="7"/>
      <c r="C270" s="7" t="s">
        <v>184</v>
      </c>
      <c r="D270" s="7"/>
      <c r="E270" s="519"/>
      <c r="F270" s="270">
        <f>IF(A270=1,SUM(H249:H268),0)</f>
        <v>0</v>
      </c>
      <c r="G270" s="539">
        <v>0.15</v>
      </c>
      <c r="H270" s="137">
        <f>F270*G270+F270</f>
        <v>0</v>
      </c>
    </row>
    <row r="271" spans="1:13" ht="6.75" customHeight="1" thickBot="1">
      <c r="A271" s="6"/>
      <c r="B271" s="7"/>
      <c r="C271" s="7"/>
      <c r="D271" s="7"/>
      <c r="E271" s="7"/>
      <c r="F271" s="271"/>
      <c r="G271" s="540"/>
      <c r="H271" s="138"/>
    </row>
    <row r="272" spans="1:13" ht="14.4" thickBot="1">
      <c r="A272" s="367"/>
      <c r="B272" s="7"/>
      <c r="C272" s="7" t="s">
        <v>544</v>
      </c>
      <c r="D272" s="7"/>
      <c r="E272" s="519"/>
      <c r="F272" s="270">
        <f>IF(A272=1,SUM(H249:H268),0)</f>
        <v>0</v>
      </c>
      <c r="G272" s="539">
        <v>0</v>
      </c>
      <c r="H272" s="137">
        <f>F272*G272+F272</f>
        <v>0</v>
      </c>
    </row>
    <row r="273" spans="1:20" ht="6.75" customHeight="1">
      <c r="A273" s="6"/>
      <c r="B273" s="7"/>
      <c r="C273" s="24"/>
      <c r="D273" s="7"/>
      <c r="E273" s="7"/>
      <c r="F273" s="250"/>
      <c r="G273" s="54"/>
      <c r="H273" s="55"/>
    </row>
    <row r="274" spans="1:20">
      <c r="A274" s="6"/>
      <c r="B274" s="75" t="s">
        <v>181</v>
      </c>
      <c r="C274" s="75"/>
      <c r="D274" s="75"/>
      <c r="E274" s="7"/>
      <c r="F274" s="250"/>
      <c r="G274" s="54"/>
      <c r="H274" s="55"/>
    </row>
    <row r="275" spans="1:20">
      <c r="A275" s="6"/>
      <c r="B275" s="76" t="s">
        <v>186</v>
      </c>
      <c r="C275" s="572" t="s">
        <v>188</v>
      </c>
      <c r="D275" s="75"/>
      <c r="E275" s="7"/>
      <c r="F275" s="250"/>
      <c r="G275" s="54"/>
      <c r="H275" s="55"/>
    </row>
    <row r="276" spans="1:20">
      <c r="A276" s="6"/>
      <c r="B276" s="75"/>
      <c r="C276" s="572" t="s">
        <v>187</v>
      </c>
      <c r="D276" s="75"/>
      <c r="E276" s="7"/>
      <c r="F276" s="250"/>
      <c r="G276" s="54"/>
      <c r="H276" s="55"/>
    </row>
    <row r="277" spans="1:20">
      <c r="A277" s="6"/>
      <c r="B277" s="75"/>
      <c r="C277" s="572" t="s">
        <v>185</v>
      </c>
      <c r="D277" s="75"/>
      <c r="E277" s="7"/>
      <c r="F277" s="250"/>
      <c r="G277" s="54"/>
      <c r="H277" s="55"/>
    </row>
    <row r="278" spans="1:20">
      <c r="A278" s="6"/>
      <c r="B278" s="76" t="s">
        <v>184</v>
      </c>
      <c r="C278" s="572" t="s">
        <v>189</v>
      </c>
      <c r="D278" s="75"/>
      <c r="E278" s="7"/>
      <c r="F278" s="250"/>
      <c r="G278" s="54"/>
      <c r="H278" s="55"/>
    </row>
    <row r="279" spans="1:20">
      <c r="A279" s="6"/>
      <c r="B279" s="76" t="s">
        <v>192</v>
      </c>
      <c r="C279" s="572" t="s">
        <v>190</v>
      </c>
      <c r="D279" s="75"/>
      <c r="E279" s="7"/>
      <c r="F279" s="250"/>
      <c r="G279" s="54"/>
      <c r="H279" s="55"/>
    </row>
    <row r="280" spans="1:20">
      <c r="A280" s="6"/>
      <c r="B280" s="75"/>
      <c r="C280" s="572" t="s">
        <v>191</v>
      </c>
      <c r="D280" s="75"/>
      <c r="E280" s="7"/>
      <c r="F280" s="250"/>
      <c r="G280" s="54"/>
      <c r="H280" s="55"/>
    </row>
    <row r="281" spans="1:20">
      <c r="A281" s="6"/>
      <c r="B281" s="77" t="s">
        <v>193</v>
      </c>
      <c r="C281" s="24"/>
      <c r="D281" s="7"/>
      <c r="E281" s="7"/>
      <c r="F281" s="250"/>
      <c r="G281" s="54"/>
      <c r="H281" s="55"/>
    </row>
    <row r="282" spans="1:20" ht="14.4" thickBot="1">
      <c r="A282" s="6"/>
      <c r="B282" s="7"/>
      <c r="C282" s="24"/>
      <c r="D282" s="7"/>
      <c r="E282" s="7"/>
      <c r="F282" s="250"/>
      <c r="G282" s="54"/>
      <c r="H282" s="55"/>
    </row>
    <row r="283" spans="1:20" ht="18.600000000000001" thickBot="1">
      <c r="A283" s="6"/>
      <c r="B283" s="333" t="s">
        <v>42</v>
      </c>
      <c r="C283" s="516"/>
      <c r="D283" s="334"/>
      <c r="E283" s="516"/>
      <c r="F283" s="334"/>
      <c r="G283" s="516"/>
      <c r="H283" s="124">
        <f>SUM(H284:H298)</f>
        <v>0</v>
      </c>
      <c r="P283" s="209"/>
      <c r="R283" s="587"/>
      <c r="S283" s="587"/>
      <c r="T283" s="587"/>
    </row>
    <row r="284" spans="1:20" ht="14.4" thickBot="1">
      <c r="A284" s="6"/>
      <c r="B284" s="7"/>
      <c r="C284" s="24"/>
      <c r="D284" s="7"/>
      <c r="E284" s="7"/>
      <c r="F284" s="250"/>
      <c r="G284" s="54"/>
      <c r="H284" s="55"/>
      <c r="P284" s="209"/>
      <c r="R284" s="587"/>
      <c r="S284" s="587"/>
      <c r="T284" s="587"/>
    </row>
    <row r="285" spans="1:20" ht="14.4" thickBot="1">
      <c r="A285" s="10">
        <v>0</v>
      </c>
      <c r="B285" s="7" t="s">
        <v>312</v>
      </c>
      <c r="C285" s="24" t="s">
        <v>314</v>
      </c>
      <c r="D285" s="7"/>
      <c r="E285" s="494" t="s">
        <v>276</v>
      </c>
      <c r="F285" s="244"/>
      <c r="G285" s="541">
        <v>450</v>
      </c>
      <c r="H285" s="12">
        <f>F285*G285</f>
        <v>0</v>
      </c>
      <c r="R285" s="587"/>
      <c r="S285" s="587"/>
      <c r="T285" s="587"/>
    </row>
    <row r="286" spans="1:20" ht="14.4" thickBot="1">
      <c r="A286" s="10">
        <v>0</v>
      </c>
      <c r="B286" s="7"/>
      <c r="C286" s="24" t="s">
        <v>440</v>
      </c>
      <c r="D286" s="7"/>
      <c r="E286" s="494" t="s">
        <v>276</v>
      </c>
      <c r="F286" s="249"/>
      <c r="G286" s="541">
        <v>250</v>
      </c>
      <c r="H286" s="12">
        <f t="shared" ref="H286:H297" si="14">F286*G286</f>
        <v>0</v>
      </c>
    </row>
    <row r="287" spans="1:20" ht="14.4" thickBot="1">
      <c r="A287" s="10">
        <v>0</v>
      </c>
      <c r="B287" s="7"/>
      <c r="C287" s="24" t="s">
        <v>313</v>
      </c>
      <c r="D287" s="7"/>
      <c r="E287" s="494" t="s">
        <v>276</v>
      </c>
      <c r="F287" s="249"/>
      <c r="G287" s="541">
        <v>420</v>
      </c>
      <c r="H287" s="12">
        <f t="shared" si="14"/>
        <v>0</v>
      </c>
    </row>
    <row r="288" spans="1:20" ht="14.4" thickBot="1">
      <c r="A288" s="10">
        <v>0</v>
      </c>
      <c r="B288" s="7"/>
      <c r="C288" s="24" t="s">
        <v>315</v>
      </c>
      <c r="D288" s="7"/>
      <c r="E288" s="494" t="s">
        <v>276</v>
      </c>
      <c r="F288" s="249"/>
      <c r="G288" s="541">
        <v>250</v>
      </c>
      <c r="H288" s="12">
        <f t="shared" si="14"/>
        <v>0</v>
      </c>
    </row>
    <row r="289" spans="1:13" ht="14.4" thickBot="1">
      <c r="A289" s="10">
        <v>0</v>
      </c>
      <c r="B289" s="7"/>
      <c r="C289" s="24" t="s">
        <v>316</v>
      </c>
      <c r="D289" s="7"/>
      <c r="E289" s="494" t="s">
        <v>276</v>
      </c>
      <c r="F289" s="249"/>
      <c r="G289" s="541">
        <v>220</v>
      </c>
      <c r="H289" s="12">
        <f t="shared" si="14"/>
        <v>0</v>
      </c>
    </row>
    <row r="290" spans="1:13" ht="14.4" thickBot="1">
      <c r="A290" s="10">
        <v>0</v>
      </c>
      <c r="B290" s="7"/>
      <c r="C290" s="24" t="s">
        <v>388</v>
      </c>
      <c r="D290" s="7"/>
      <c r="E290" s="494" t="s">
        <v>276</v>
      </c>
      <c r="F290" s="249"/>
      <c r="G290" s="541">
        <v>380</v>
      </c>
      <c r="H290" s="12">
        <f>F290*G290</f>
        <v>0</v>
      </c>
    </row>
    <row r="291" spans="1:13" ht="14.4" thickBot="1">
      <c r="A291" s="10">
        <v>0</v>
      </c>
      <c r="B291" s="7"/>
      <c r="C291" s="24" t="s">
        <v>317</v>
      </c>
      <c r="D291" s="7"/>
      <c r="E291" s="494" t="s">
        <v>276</v>
      </c>
      <c r="F291" s="249"/>
      <c r="G291" s="541">
        <v>650</v>
      </c>
      <c r="H291" s="12">
        <f t="shared" si="14"/>
        <v>0</v>
      </c>
    </row>
    <row r="292" spans="1:13" ht="14.4" thickBot="1">
      <c r="A292" s="10">
        <v>0</v>
      </c>
      <c r="B292" s="7"/>
      <c r="C292" s="24" t="s">
        <v>318</v>
      </c>
      <c r="D292" s="7"/>
      <c r="E292" s="494" t="s">
        <v>276</v>
      </c>
      <c r="F292" s="251"/>
      <c r="G292" s="541">
        <v>450</v>
      </c>
      <c r="H292" s="12">
        <f t="shared" si="14"/>
        <v>0</v>
      </c>
    </row>
    <row r="293" spans="1:13" ht="14.4" thickBot="1">
      <c r="A293" s="10">
        <v>0</v>
      </c>
      <c r="B293" s="7"/>
      <c r="C293" s="24" t="s">
        <v>429</v>
      </c>
      <c r="D293" s="7"/>
      <c r="E293" s="494" t="s">
        <v>276</v>
      </c>
      <c r="F293" s="249"/>
      <c r="G293" s="541">
        <v>480</v>
      </c>
      <c r="H293" s="12">
        <f t="shared" si="14"/>
        <v>0</v>
      </c>
    </row>
    <row r="294" spans="1:13" ht="14.4" thickBot="1">
      <c r="A294" s="367"/>
      <c r="B294" s="7"/>
      <c r="C294" s="155" t="s">
        <v>319</v>
      </c>
      <c r="D294" s="73"/>
      <c r="E294" s="494" t="s">
        <v>276</v>
      </c>
      <c r="F294" s="246">
        <f>F285+F286+F287+F288++F290+F293</f>
        <v>0</v>
      </c>
      <c r="G294" s="542">
        <v>190</v>
      </c>
      <c r="H294" s="12">
        <f t="shared" si="14"/>
        <v>0</v>
      </c>
    </row>
    <row r="295" spans="1:13" ht="14.4" thickBot="1">
      <c r="A295" s="367"/>
      <c r="B295" s="7"/>
      <c r="C295" s="155" t="s">
        <v>320</v>
      </c>
      <c r="D295" s="73"/>
      <c r="E295" s="494" t="s">
        <v>276</v>
      </c>
      <c r="F295" s="246">
        <f>F294</f>
        <v>0</v>
      </c>
      <c r="G295" s="542">
        <v>190</v>
      </c>
      <c r="H295" s="12">
        <f t="shared" si="14"/>
        <v>0</v>
      </c>
    </row>
    <row r="296" spans="1:13" ht="14.4" thickBot="1">
      <c r="A296" s="6"/>
      <c r="B296" s="7" t="s">
        <v>43</v>
      </c>
      <c r="C296" s="24" t="s">
        <v>289</v>
      </c>
      <c r="D296" s="7"/>
      <c r="E296" s="503" t="s">
        <v>110</v>
      </c>
      <c r="F296" s="249"/>
      <c r="G296" s="541">
        <v>1150</v>
      </c>
      <c r="H296" s="12">
        <f t="shared" si="14"/>
        <v>0</v>
      </c>
    </row>
    <row r="297" spans="1:13" ht="14.4" thickBot="1">
      <c r="A297" s="6"/>
      <c r="B297" s="7" t="s">
        <v>194</v>
      </c>
      <c r="C297" s="24" t="s">
        <v>195</v>
      </c>
      <c r="D297" s="7"/>
      <c r="E297" s="494" t="s">
        <v>153</v>
      </c>
      <c r="F297" s="244">
        <v>0</v>
      </c>
      <c r="G297" s="541">
        <v>60</v>
      </c>
      <c r="H297" s="12">
        <f t="shared" si="14"/>
        <v>0</v>
      </c>
    </row>
    <row r="298" spans="1:13" ht="14.4" thickBot="1">
      <c r="A298" s="6"/>
      <c r="B298" s="7"/>
      <c r="C298" s="7"/>
      <c r="D298" s="7"/>
      <c r="E298" s="7"/>
      <c r="F298" s="250"/>
      <c r="G298" s="54"/>
      <c r="H298" s="55"/>
      <c r="M298" s="133"/>
    </row>
    <row r="299" spans="1:13" ht="18.600000000000001" thickBot="1">
      <c r="A299" s="6"/>
      <c r="B299" s="333" t="s">
        <v>296</v>
      </c>
      <c r="C299" s="516"/>
      <c r="D299" s="334"/>
      <c r="E299" s="516"/>
      <c r="F299" s="334"/>
      <c r="G299" s="516"/>
      <c r="H299" s="124">
        <f>SUM(H310:H386)</f>
        <v>0</v>
      </c>
      <c r="M299" s="106"/>
    </row>
    <row r="300" spans="1:13" ht="6.75" customHeight="1">
      <c r="A300" s="6"/>
      <c r="B300" s="7"/>
      <c r="C300" s="7"/>
      <c r="D300" s="7"/>
      <c r="E300" s="7"/>
      <c r="F300" s="250"/>
      <c r="G300" s="54"/>
      <c r="H300" s="55"/>
    </row>
    <row r="301" spans="1:13">
      <c r="A301" s="6"/>
      <c r="B301" s="78" t="s">
        <v>196</v>
      </c>
      <c r="C301" s="7"/>
      <c r="D301" s="7"/>
      <c r="E301" s="7"/>
      <c r="F301" s="250"/>
      <c r="G301" s="54"/>
      <c r="H301" s="55"/>
    </row>
    <row r="302" spans="1:13" ht="14.4" thickBot="1">
      <c r="A302" s="6"/>
      <c r="B302" s="7"/>
      <c r="C302" s="7"/>
      <c r="D302" s="7"/>
      <c r="E302" s="7"/>
      <c r="F302" s="250"/>
      <c r="G302" s="54"/>
      <c r="H302" s="55"/>
    </row>
    <row r="303" spans="1:13" ht="42" thickBot="1">
      <c r="A303" s="6"/>
      <c r="B303" s="7"/>
      <c r="C303" s="7"/>
      <c r="D303" s="139" t="s">
        <v>219</v>
      </c>
      <c r="E303" s="7"/>
      <c r="F303" s="272" t="s">
        <v>220</v>
      </c>
      <c r="G303" s="543" t="s">
        <v>221</v>
      </c>
      <c r="H303" s="140" t="s">
        <v>136</v>
      </c>
    </row>
    <row r="304" spans="1:13">
      <c r="A304" s="10">
        <v>0</v>
      </c>
      <c r="B304" s="43" t="s">
        <v>218</v>
      </c>
      <c r="C304" s="520">
        <v>0.05</v>
      </c>
      <c r="D304" s="79"/>
      <c r="E304" s="520"/>
      <c r="F304" s="273"/>
      <c r="G304" s="544">
        <f>D304*F304</f>
        <v>0</v>
      </c>
      <c r="H304" s="141">
        <f>C304*G304</f>
        <v>0</v>
      </c>
    </row>
    <row r="305" spans="1:8">
      <c r="A305" s="10">
        <v>0</v>
      </c>
      <c r="B305" s="43" t="s">
        <v>44</v>
      </c>
      <c r="C305" s="520">
        <v>0.04</v>
      </c>
      <c r="D305" s="80"/>
      <c r="E305" s="520"/>
      <c r="F305" s="273"/>
      <c r="G305" s="544">
        <f>D305*F305</f>
        <v>0</v>
      </c>
      <c r="H305" s="141">
        <f>C305*G305</f>
        <v>0</v>
      </c>
    </row>
    <row r="306" spans="1:8">
      <c r="A306" s="10">
        <v>0</v>
      </c>
      <c r="B306" s="43" t="s">
        <v>45</v>
      </c>
      <c r="C306" s="520">
        <v>0.03</v>
      </c>
      <c r="D306" s="80"/>
      <c r="E306" s="520"/>
      <c r="F306" s="274"/>
      <c r="G306" s="544">
        <f>D306*F306</f>
        <v>0</v>
      </c>
      <c r="H306" s="141">
        <f>C306*G306</f>
        <v>0</v>
      </c>
    </row>
    <row r="307" spans="1:8" ht="12.75" customHeight="1" thickBot="1">
      <c r="A307" s="10">
        <v>0</v>
      </c>
      <c r="B307" s="43" t="s">
        <v>46</v>
      </c>
      <c r="C307" s="520">
        <v>0.02</v>
      </c>
      <c r="D307" s="81">
        <v>0</v>
      </c>
      <c r="E307" s="520"/>
      <c r="F307" s="275">
        <v>0</v>
      </c>
      <c r="G307" s="545">
        <f>D307*F307</f>
        <v>0</v>
      </c>
      <c r="H307" s="142">
        <f>C307*G307</f>
        <v>0</v>
      </c>
    </row>
    <row r="308" spans="1:8" ht="12.75" customHeight="1" thickTop="1" thickBot="1">
      <c r="A308" s="6"/>
      <c r="B308" s="43"/>
      <c r="C308" s="520" t="s">
        <v>222</v>
      </c>
      <c r="D308" s="143">
        <f>SUM(D304:D307)</f>
        <v>0</v>
      </c>
      <c r="E308" s="520"/>
      <c r="F308" s="276"/>
      <c r="G308" s="546">
        <f>SUM(G304:G307)</f>
        <v>0</v>
      </c>
      <c r="H308" s="144">
        <f>SUM(H304:H307)</f>
        <v>0</v>
      </c>
    </row>
    <row r="309" spans="1:8" ht="12.75" customHeight="1" thickTop="1" thickBot="1">
      <c r="A309" s="6"/>
      <c r="B309" s="43"/>
      <c r="C309" s="520"/>
      <c r="D309" s="127"/>
      <c r="E309" s="520"/>
      <c r="F309" s="277"/>
      <c r="G309" s="547"/>
      <c r="H309" s="128" t="s">
        <v>454</v>
      </c>
    </row>
    <row r="310" spans="1:8" ht="14.4" thickBot="1">
      <c r="A310" s="367"/>
      <c r="B310" s="82" t="s">
        <v>206</v>
      </c>
      <c r="C310" s="24" t="s">
        <v>47</v>
      </c>
      <c r="D310" s="7"/>
      <c r="E310" s="521" t="s">
        <v>154</v>
      </c>
      <c r="F310" s="252"/>
      <c r="G310" s="537">
        <v>3000</v>
      </c>
      <c r="H310" s="12">
        <f t="shared" ref="H310:H316" si="15">F310*G310</f>
        <v>0</v>
      </c>
    </row>
    <row r="311" spans="1:8" ht="14.4" thickBot="1">
      <c r="A311" s="367"/>
      <c r="B311" s="82"/>
      <c r="C311" s="24" t="s">
        <v>48</v>
      </c>
      <c r="D311" s="7"/>
      <c r="E311" s="494" t="s">
        <v>154</v>
      </c>
      <c r="F311" s="249"/>
      <c r="G311" s="537">
        <v>11000</v>
      </c>
      <c r="H311" s="12">
        <f t="shared" si="15"/>
        <v>0</v>
      </c>
    </row>
    <row r="312" spans="1:8" ht="14.4" thickBot="1">
      <c r="A312" s="367"/>
      <c r="B312" s="7"/>
      <c r="C312" s="24" t="s">
        <v>49</v>
      </c>
      <c r="D312" s="7"/>
      <c r="E312" s="494" t="s">
        <v>154</v>
      </c>
      <c r="F312" s="244">
        <f>IF(A312=1,1,IF(A312=0,0))</f>
        <v>0</v>
      </c>
      <c r="G312" s="537">
        <v>13000</v>
      </c>
      <c r="H312" s="12">
        <f t="shared" si="15"/>
        <v>0</v>
      </c>
    </row>
    <row r="313" spans="1:8" ht="14.4" thickBot="1">
      <c r="A313" s="367"/>
      <c r="B313" s="7"/>
      <c r="C313" s="24" t="s">
        <v>50</v>
      </c>
      <c r="D313" s="7"/>
      <c r="E313" s="494" t="s">
        <v>154</v>
      </c>
      <c r="F313" s="244">
        <f>IF(A313=1,1,IF(A313=0,0))</f>
        <v>0</v>
      </c>
      <c r="G313" s="537">
        <v>15000</v>
      </c>
      <c r="H313" s="12">
        <f t="shared" si="15"/>
        <v>0</v>
      </c>
    </row>
    <row r="314" spans="1:8" ht="14.4" thickBot="1">
      <c r="A314" s="367"/>
      <c r="B314" s="7"/>
      <c r="C314" s="24" t="s">
        <v>51</v>
      </c>
      <c r="D314" s="7"/>
      <c r="E314" s="494" t="s">
        <v>154</v>
      </c>
      <c r="F314" s="244">
        <f>IF(A314=1,1,IF(A314=0,0))</f>
        <v>0</v>
      </c>
      <c r="G314" s="537">
        <v>20000</v>
      </c>
      <c r="H314" s="12">
        <f t="shared" si="15"/>
        <v>0</v>
      </c>
    </row>
    <row r="315" spans="1:8" ht="14.4" thickBot="1">
      <c r="A315" s="367"/>
      <c r="B315" s="7"/>
      <c r="C315" s="24" t="s">
        <v>52</v>
      </c>
      <c r="D315" s="7"/>
      <c r="E315" s="494" t="s">
        <v>154</v>
      </c>
      <c r="F315" s="244">
        <f>IF(A315=1,1,IF(A315=0,0))</f>
        <v>0</v>
      </c>
      <c r="G315" s="537">
        <v>25000</v>
      </c>
      <c r="H315" s="12">
        <f t="shared" si="15"/>
        <v>0</v>
      </c>
    </row>
    <row r="316" spans="1:8" ht="14.4" thickBot="1">
      <c r="A316" s="367"/>
      <c r="B316" s="7"/>
      <c r="C316" s="24" t="s">
        <v>53</v>
      </c>
      <c r="D316" s="7"/>
      <c r="E316" s="494" t="s">
        <v>154</v>
      </c>
      <c r="F316" s="244">
        <f>IF(A316=1,H308/300+0.65,IF(A316=0,0))</f>
        <v>0</v>
      </c>
      <c r="G316" s="537">
        <v>30000</v>
      </c>
      <c r="H316" s="12">
        <f t="shared" si="15"/>
        <v>0</v>
      </c>
    </row>
    <row r="317" spans="1:8">
      <c r="A317" s="367"/>
      <c r="B317" s="7"/>
      <c r="C317" s="24"/>
      <c r="D317" s="7"/>
      <c r="E317" s="498"/>
      <c r="F317" s="250"/>
      <c r="G317" s="537"/>
      <c r="H317" s="55"/>
    </row>
    <row r="318" spans="1:8" ht="6.75" customHeight="1" thickBot="1">
      <c r="A318" s="6"/>
      <c r="B318" s="7"/>
      <c r="C318" s="7"/>
      <c r="D318" s="7"/>
      <c r="E318" s="7"/>
      <c r="F318" s="250"/>
      <c r="G318" s="537"/>
      <c r="H318" s="55"/>
    </row>
    <row r="319" spans="1:8" ht="14.4" thickBot="1">
      <c r="A319" s="367"/>
      <c r="B319" s="82" t="s">
        <v>102</v>
      </c>
      <c r="C319" s="24" t="s">
        <v>47</v>
      </c>
      <c r="D319" s="7"/>
      <c r="E319" s="494" t="s">
        <v>154</v>
      </c>
      <c r="F319" s="244"/>
      <c r="G319" s="537">
        <v>13000</v>
      </c>
      <c r="H319" s="12">
        <f t="shared" ref="H319:H325" si="16">F319*G319</f>
        <v>0</v>
      </c>
    </row>
    <row r="320" spans="1:8" ht="14.4" thickBot="1">
      <c r="A320" s="367"/>
      <c r="B320" s="83"/>
      <c r="C320" s="24" t="s">
        <v>48</v>
      </c>
      <c r="D320" s="7"/>
      <c r="E320" s="494" t="s">
        <v>154</v>
      </c>
      <c r="F320" s="244">
        <f t="shared" ref="F320:F325" si="17">IF(A320=1,1,IF(A320=0,0))</f>
        <v>0</v>
      </c>
      <c r="G320" s="537">
        <v>18000</v>
      </c>
      <c r="H320" s="12">
        <f t="shared" si="16"/>
        <v>0</v>
      </c>
    </row>
    <row r="321" spans="1:8" ht="14.4" thickBot="1">
      <c r="A321" s="367"/>
      <c r="B321" s="7"/>
      <c r="C321" s="24" t="s">
        <v>49</v>
      </c>
      <c r="D321" s="7"/>
      <c r="E321" s="494" t="s">
        <v>154</v>
      </c>
      <c r="F321" s="244">
        <f t="shared" si="17"/>
        <v>0</v>
      </c>
      <c r="G321" s="537">
        <v>23000</v>
      </c>
      <c r="H321" s="12">
        <f t="shared" si="16"/>
        <v>0</v>
      </c>
    </row>
    <row r="322" spans="1:8" ht="14.4" thickBot="1">
      <c r="A322" s="367"/>
      <c r="B322" s="7"/>
      <c r="C322" s="24" t="s">
        <v>50</v>
      </c>
      <c r="D322" s="7"/>
      <c r="E322" s="494" t="s">
        <v>154</v>
      </c>
      <c r="F322" s="244">
        <f t="shared" si="17"/>
        <v>0</v>
      </c>
      <c r="G322" s="537">
        <v>28000</v>
      </c>
      <c r="H322" s="12">
        <f t="shared" si="16"/>
        <v>0</v>
      </c>
    </row>
    <row r="323" spans="1:8" ht="14.4" thickBot="1">
      <c r="A323" s="367"/>
      <c r="B323" s="7"/>
      <c r="C323" s="24" t="s">
        <v>51</v>
      </c>
      <c r="D323" s="7"/>
      <c r="E323" s="494" t="s">
        <v>154</v>
      </c>
      <c r="F323" s="244">
        <f t="shared" si="17"/>
        <v>0</v>
      </c>
      <c r="G323" s="537">
        <v>33000</v>
      </c>
      <c r="H323" s="12">
        <f t="shared" si="16"/>
        <v>0</v>
      </c>
    </row>
    <row r="324" spans="1:8" ht="14.4" thickBot="1">
      <c r="A324" s="367"/>
      <c r="B324" s="7"/>
      <c r="C324" s="24" t="s">
        <v>52</v>
      </c>
      <c r="D324" s="7"/>
      <c r="E324" s="494" t="s">
        <v>154</v>
      </c>
      <c r="F324" s="244">
        <f t="shared" si="17"/>
        <v>0</v>
      </c>
      <c r="G324" s="537">
        <v>38000</v>
      </c>
      <c r="H324" s="12">
        <f t="shared" si="16"/>
        <v>0</v>
      </c>
    </row>
    <row r="325" spans="1:8" ht="14.4" thickBot="1">
      <c r="A325" s="367"/>
      <c r="B325" s="7"/>
      <c r="C325" s="24" t="s">
        <v>53</v>
      </c>
      <c r="D325" s="7"/>
      <c r="E325" s="494" t="s">
        <v>154</v>
      </c>
      <c r="F325" s="244">
        <f t="shared" si="17"/>
        <v>0</v>
      </c>
      <c r="G325" s="537">
        <v>43000</v>
      </c>
      <c r="H325" s="12">
        <f t="shared" si="16"/>
        <v>0</v>
      </c>
    </row>
    <row r="326" spans="1:8" ht="6.75" customHeight="1" thickBot="1">
      <c r="A326" s="6"/>
      <c r="B326" s="7"/>
      <c r="C326" s="24"/>
      <c r="D326" s="7"/>
      <c r="E326" s="7"/>
      <c r="F326" s="260"/>
      <c r="G326" s="7"/>
      <c r="H326" s="55"/>
    </row>
    <row r="327" spans="1:8" ht="14.4" thickBot="1">
      <c r="A327" s="10">
        <v>0</v>
      </c>
      <c r="B327" s="82" t="s">
        <v>295</v>
      </c>
      <c r="C327" s="24" t="s">
        <v>210</v>
      </c>
      <c r="D327" s="7"/>
      <c r="E327" s="494" t="s">
        <v>217</v>
      </c>
      <c r="F327" s="244"/>
      <c r="G327" s="537">
        <v>1850</v>
      </c>
      <c r="H327" s="12">
        <f t="shared" ref="H327:H333" si="18">F327*G327</f>
        <v>0</v>
      </c>
    </row>
    <row r="328" spans="1:8" ht="14.4" thickBot="1">
      <c r="A328" s="10">
        <v>0</v>
      </c>
      <c r="B328" s="7"/>
      <c r="C328" s="24" t="s">
        <v>211</v>
      </c>
      <c r="D328" s="7"/>
      <c r="E328" s="494" t="s">
        <v>217</v>
      </c>
      <c r="F328" s="244">
        <f>IF(A320=1,9,IF(A320=0,0))</f>
        <v>0</v>
      </c>
      <c r="G328" s="537">
        <v>1750</v>
      </c>
      <c r="H328" s="12">
        <f t="shared" si="18"/>
        <v>0</v>
      </c>
    </row>
    <row r="329" spans="1:8" ht="14.4" thickBot="1">
      <c r="A329" s="10">
        <v>0</v>
      </c>
      <c r="B329" s="7"/>
      <c r="C329" s="24" t="s">
        <v>212</v>
      </c>
      <c r="D329" s="7"/>
      <c r="E329" s="494" t="s">
        <v>217</v>
      </c>
      <c r="F329" s="244">
        <f>IF(A321=1,12,IF(A321=0,0))</f>
        <v>0</v>
      </c>
      <c r="G329" s="537">
        <v>1650</v>
      </c>
      <c r="H329" s="12">
        <f t="shared" si="18"/>
        <v>0</v>
      </c>
    </row>
    <row r="330" spans="1:8" ht="14.4" thickBot="1">
      <c r="A330" s="10">
        <v>0</v>
      </c>
      <c r="B330" s="7"/>
      <c r="C330" s="24" t="s">
        <v>213</v>
      </c>
      <c r="D330" s="7"/>
      <c r="E330" s="494" t="s">
        <v>217</v>
      </c>
      <c r="F330" s="244">
        <f>IF(A322=1,15,IF(A322=0,0))</f>
        <v>0</v>
      </c>
      <c r="G330" s="537">
        <v>1550</v>
      </c>
      <c r="H330" s="12">
        <f t="shared" si="18"/>
        <v>0</v>
      </c>
    </row>
    <row r="331" spans="1:8" ht="14.4" thickBot="1">
      <c r="A331" s="10">
        <v>0</v>
      </c>
      <c r="B331" s="7"/>
      <c r="C331" s="24" t="s">
        <v>214</v>
      </c>
      <c r="D331" s="7"/>
      <c r="E331" s="494" t="s">
        <v>217</v>
      </c>
      <c r="F331" s="244">
        <f>IF(A323=1,20,IF(A323=0,0))</f>
        <v>0</v>
      </c>
      <c r="G331" s="537">
        <v>1450</v>
      </c>
      <c r="H331" s="12">
        <f t="shared" si="18"/>
        <v>0</v>
      </c>
    </row>
    <row r="332" spans="1:8" ht="14.4" thickBot="1">
      <c r="A332" s="10">
        <v>0</v>
      </c>
      <c r="B332" s="7"/>
      <c r="C332" s="24" t="s">
        <v>215</v>
      </c>
      <c r="D332" s="7"/>
      <c r="E332" s="494" t="s">
        <v>217</v>
      </c>
      <c r="F332" s="244">
        <f>IF(A324=1,25,IF(A324=0,0))</f>
        <v>0</v>
      </c>
      <c r="G332" s="537">
        <v>1350</v>
      </c>
      <c r="H332" s="12">
        <f t="shared" si="18"/>
        <v>0</v>
      </c>
    </row>
    <row r="333" spans="1:8" ht="14.4" thickBot="1">
      <c r="A333" s="10">
        <v>0</v>
      </c>
      <c r="B333" s="7"/>
      <c r="C333" s="24" t="s">
        <v>216</v>
      </c>
      <c r="D333" s="7"/>
      <c r="E333" s="494" t="s">
        <v>217</v>
      </c>
      <c r="F333" s="244">
        <f>IF(A325=1,25,IF(A325=0,0))</f>
        <v>0</v>
      </c>
      <c r="G333" s="537">
        <v>1250</v>
      </c>
      <c r="H333" s="12">
        <f t="shared" si="18"/>
        <v>0</v>
      </c>
    </row>
    <row r="334" spans="1:8" ht="14.4" thickBot="1">
      <c r="A334" s="6"/>
      <c r="B334" s="7"/>
      <c r="C334" s="24"/>
      <c r="D334" s="7"/>
      <c r="E334" s="7"/>
      <c r="F334" s="260"/>
      <c r="G334" s="537"/>
      <c r="H334" s="55"/>
    </row>
    <row r="335" spans="1:8" ht="14.4" thickBot="1">
      <c r="A335" s="10">
        <v>0</v>
      </c>
      <c r="B335" s="82" t="s">
        <v>207</v>
      </c>
      <c r="C335" s="24" t="s">
        <v>49</v>
      </c>
      <c r="D335" s="7"/>
      <c r="E335" s="494" t="s">
        <v>154</v>
      </c>
      <c r="F335" s="244">
        <v>0</v>
      </c>
      <c r="G335" s="537">
        <v>3000</v>
      </c>
      <c r="H335" s="12">
        <f>F335*G335</f>
        <v>0</v>
      </c>
    </row>
    <row r="336" spans="1:8" ht="14.4" thickBot="1">
      <c r="A336" s="10">
        <v>0</v>
      </c>
      <c r="B336" s="84" t="s">
        <v>209</v>
      </c>
      <c r="C336" s="24" t="s">
        <v>50</v>
      </c>
      <c r="D336" s="7"/>
      <c r="E336" s="494" t="s">
        <v>154</v>
      </c>
      <c r="F336" s="244">
        <f>IF(A322=1,1,IF(A322=0,0))</f>
        <v>0</v>
      </c>
      <c r="G336" s="537">
        <v>5000</v>
      </c>
      <c r="H336" s="12">
        <f>F336*G336</f>
        <v>0</v>
      </c>
    </row>
    <row r="337" spans="1:9" ht="14.4" thickBot="1">
      <c r="A337" s="10">
        <v>0</v>
      </c>
      <c r="B337" s="84" t="s">
        <v>208</v>
      </c>
      <c r="C337" s="24" t="s">
        <v>51</v>
      </c>
      <c r="D337" s="7"/>
      <c r="E337" s="494" t="s">
        <v>154</v>
      </c>
      <c r="F337" s="244">
        <f>IF(A323=1,1,IF(A323=0,0))</f>
        <v>0</v>
      </c>
      <c r="G337" s="537">
        <v>7000</v>
      </c>
      <c r="H337" s="12">
        <f>F337*G337</f>
        <v>0</v>
      </c>
    </row>
    <row r="338" spans="1:9" ht="14.4" thickBot="1">
      <c r="A338" s="10">
        <v>0</v>
      </c>
      <c r="B338" s="7"/>
      <c r="C338" s="24" t="s">
        <v>52</v>
      </c>
      <c r="D338" s="7"/>
      <c r="E338" s="494" t="s">
        <v>154</v>
      </c>
      <c r="F338" s="244">
        <f>IF(A324=1,1,IF(A324=0,0))</f>
        <v>0</v>
      </c>
      <c r="G338" s="537">
        <v>9000</v>
      </c>
      <c r="H338" s="12">
        <f>F338*G338</f>
        <v>0</v>
      </c>
    </row>
    <row r="339" spans="1:9" ht="14.4" thickBot="1">
      <c r="A339" s="10">
        <v>0</v>
      </c>
      <c r="B339" s="7"/>
      <c r="C339" s="24" t="s">
        <v>53</v>
      </c>
      <c r="D339" s="7"/>
      <c r="E339" s="494" t="s">
        <v>154</v>
      </c>
      <c r="F339" s="244">
        <f>IF(A325=1,1,IF(A325=0,0))</f>
        <v>0</v>
      </c>
      <c r="G339" s="537">
        <v>11000</v>
      </c>
      <c r="H339" s="12">
        <f>F339*G339</f>
        <v>0</v>
      </c>
    </row>
    <row r="340" spans="1:9" ht="6.75" customHeight="1">
      <c r="A340" s="6"/>
      <c r="B340" s="7"/>
      <c r="C340" s="24"/>
      <c r="D340" s="7"/>
      <c r="E340" s="498"/>
      <c r="F340" s="250"/>
      <c r="G340" s="537"/>
      <c r="H340" s="55"/>
    </row>
    <row r="341" spans="1:9" ht="14.4" thickBot="1">
      <c r="A341" s="6"/>
      <c r="B341" s="82" t="s">
        <v>223</v>
      </c>
      <c r="C341" s="24"/>
      <c r="D341" s="7"/>
      <c r="E341" s="498"/>
      <c r="F341" s="250"/>
      <c r="G341" s="537"/>
      <c r="H341" s="55"/>
      <c r="I341" s="554"/>
    </row>
    <row r="342" spans="1:9" ht="28.2" thickBot="1">
      <c r="A342" s="10">
        <v>0</v>
      </c>
      <c r="B342" s="85" t="s">
        <v>441</v>
      </c>
      <c r="C342" s="573" t="s">
        <v>227</v>
      </c>
      <c r="D342" s="86">
        <f>+H308</f>
        <v>0</v>
      </c>
      <c r="E342" s="496" t="s">
        <v>154</v>
      </c>
      <c r="F342" s="278">
        <f>+D342/2</f>
        <v>0</v>
      </c>
      <c r="G342" s="537">
        <v>450</v>
      </c>
      <c r="H342" s="12">
        <f t="shared" ref="H342:H348" si="19">F342*G342</f>
        <v>0</v>
      </c>
      <c r="I342" s="554"/>
    </row>
    <row r="343" spans="1:9" ht="14.4" thickBot="1">
      <c r="A343" s="10">
        <v>0</v>
      </c>
      <c r="B343" s="85" t="s">
        <v>224</v>
      </c>
      <c r="C343" s="573" t="s">
        <v>228</v>
      </c>
      <c r="D343" s="87"/>
      <c r="E343" s="496" t="s">
        <v>154</v>
      </c>
      <c r="F343" s="278">
        <f>+D343</f>
        <v>0</v>
      </c>
      <c r="G343" s="537">
        <v>650</v>
      </c>
      <c r="H343" s="12">
        <f t="shared" si="19"/>
        <v>0</v>
      </c>
      <c r="I343" s="554"/>
    </row>
    <row r="344" spans="1:9" ht="14.4" thickBot="1">
      <c r="A344" s="10">
        <v>0</v>
      </c>
      <c r="B344" s="85" t="s">
        <v>225</v>
      </c>
      <c r="C344" s="573" t="s">
        <v>228</v>
      </c>
      <c r="D344" s="87"/>
      <c r="E344" s="496" t="s">
        <v>154</v>
      </c>
      <c r="F344" s="278"/>
      <c r="G344" s="537">
        <v>750</v>
      </c>
      <c r="H344" s="12">
        <f t="shared" si="19"/>
        <v>0</v>
      </c>
      <c r="I344" s="554"/>
    </row>
    <row r="345" spans="1:9" ht="28.2" thickBot="1">
      <c r="A345" s="367"/>
      <c r="B345" s="85" t="s">
        <v>226</v>
      </c>
      <c r="C345" s="573" t="s">
        <v>227</v>
      </c>
      <c r="D345" s="86"/>
      <c r="E345" s="496" t="s">
        <v>154</v>
      </c>
      <c r="F345" s="278">
        <f>IF(A345=1,D345/30,IF(A345=0,0))</f>
        <v>0</v>
      </c>
      <c r="G345" s="537">
        <v>2800</v>
      </c>
      <c r="H345" s="12">
        <f t="shared" si="19"/>
        <v>0</v>
      </c>
      <c r="I345" s="554"/>
    </row>
    <row r="346" spans="1:9" ht="16.5" customHeight="1" thickBot="1">
      <c r="A346" s="367"/>
      <c r="B346" s="85" t="s">
        <v>431</v>
      </c>
      <c r="C346" s="573" t="s">
        <v>227</v>
      </c>
      <c r="D346" s="87"/>
      <c r="E346" s="496" t="s">
        <v>154</v>
      </c>
      <c r="F346" s="278"/>
      <c r="G346" s="537">
        <v>1800</v>
      </c>
      <c r="H346" s="12">
        <f t="shared" si="19"/>
        <v>0</v>
      </c>
      <c r="I346" s="554"/>
    </row>
    <row r="347" spans="1:9" ht="14.4" thickBot="1">
      <c r="A347" s="367"/>
      <c r="B347" s="85" t="s">
        <v>229</v>
      </c>
      <c r="C347" s="573" t="s">
        <v>230</v>
      </c>
      <c r="D347" s="86"/>
      <c r="E347" s="496" t="s">
        <v>154</v>
      </c>
      <c r="F347" s="278"/>
      <c r="G347" s="537">
        <v>1200</v>
      </c>
      <c r="H347" s="12"/>
      <c r="I347" s="554"/>
    </row>
    <row r="348" spans="1:9" ht="28.2" thickBot="1">
      <c r="A348" s="367"/>
      <c r="B348" s="85" t="s">
        <v>430</v>
      </c>
      <c r="C348" s="573" t="s">
        <v>233</v>
      </c>
      <c r="D348" s="86"/>
      <c r="E348" s="494" t="s">
        <v>110</v>
      </c>
      <c r="F348" s="278">
        <f>IF(A348=1,(D348),IF(A348=0,0))</f>
        <v>0</v>
      </c>
      <c r="G348" s="537">
        <v>900</v>
      </c>
      <c r="H348" s="12">
        <f t="shared" si="19"/>
        <v>0</v>
      </c>
      <c r="I348" s="554"/>
    </row>
    <row r="349" spans="1:9" ht="14.4" thickBot="1">
      <c r="A349" s="367"/>
      <c r="B349" s="85" t="s">
        <v>442</v>
      </c>
      <c r="C349" s="573"/>
      <c r="D349" s="86"/>
      <c r="E349" s="494" t="s">
        <v>443</v>
      </c>
      <c r="F349" s="278"/>
      <c r="G349" s="537">
        <v>1200</v>
      </c>
      <c r="H349" s="12">
        <f>F349*G349</f>
        <v>0</v>
      </c>
      <c r="I349" s="554"/>
    </row>
    <row r="350" spans="1:9" ht="14.4" thickBot="1">
      <c r="A350" s="6"/>
      <c r="B350" s="82" t="s">
        <v>54</v>
      </c>
      <c r="C350" s="24"/>
      <c r="D350" s="7"/>
      <c r="E350" s="7"/>
      <c r="F350" s="260"/>
      <c r="G350" s="7"/>
      <c r="H350" s="55"/>
      <c r="I350" s="554"/>
    </row>
    <row r="351" spans="1:9" ht="28.2" thickBot="1">
      <c r="A351" s="10">
        <v>0</v>
      </c>
      <c r="B351" s="85" t="s">
        <v>55</v>
      </c>
      <c r="C351" s="573" t="s">
        <v>227</v>
      </c>
      <c r="D351" s="86"/>
      <c r="E351" s="496" t="s">
        <v>154</v>
      </c>
      <c r="F351" s="278">
        <f>D351/1.5</f>
        <v>0</v>
      </c>
      <c r="G351" s="537">
        <v>150</v>
      </c>
      <c r="H351" s="12">
        <f t="shared" ref="H351:H356" si="20">F351*G351</f>
        <v>0</v>
      </c>
      <c r="I351" s="554"/>
    </row>
    <row r="352" spans="1:9" ht="14.4" thickBot="1">
      <c r="A352" s="10">
        <v>0</v>
      </c>
      <c r="B352" s="85" t="s">
        <v>231</v>
      </c>
      <c r="C352" s="573" t="s">
        <v>228</v>
      </c>
      <c r="D352" s="87"/>
      <c r="E352" s="496" t="s">
        <v>154</v>
      </c>
      <c r="F352" s="278">
        <f>D352</f>
        <v>0</v>
      </c>
      <c r="G352" s="537">
        <v>350</v>
      </c>
      <c r="H352" s="12">
        <f t="shared" si="20"/>
        <v>0</v>
      </c>
      <c r="I352" s="554"/>
    </row>
    <row r="353" spans="1:13" ht="28.2" thickBot="1">
      <c r="A353" s="367"/>
      <c r="B353" s="85" t="s">
        <v>232</v>
      </c>
      <c r="C353" s="573" t="s">
        <v>227</v>
      </c>
      <c r="D353" s="87"/>
      <c r="E353" s="496" t="s">
        <v>154</v>
      </c>
      <c r="F353" s="278">
        <f>IF(A353=1,D353/24,IF(A353=0,0))</f>
        <v>0</v>
      </c>
      <c r="G353" s="537">
        <v>2400</v>
      </c>
      <c r="H353" s="12">
        <f t="shared" si="20"/>
        <v>0</v>
      </c>
      <c r="I353" s="554"/>
    </row>
    <row r="354" spans="1:13" ht="14.4" thickBot="1">
      <c r="A354" s="367"/>
      <c r="B354" s="85" t="s">
        <v>229</v>
      </c>
      <c r="C354" s="573" t="s">
        <v>230</v>
      </c>
      <c r="D354" s="86">
        <v>0</v>
      </c>
      <c r="E354" s="496" t="s">
        <v>154</v>
      </c>
      <c r="F354" s="278">
        <f>IF(A354=1,(D354/3000),IF(A354=0,0))</f>
        <v>0</v>
      </c>
      <c r="G354" s="537">
        <v>1200</v>
      </c>
      <c r="H354" s="12">
        <f t="shared" si="20"/>
        <v>0</v>
      </c>
      <c r="I354" s="554"/>
    </row>
    <row r="355" spans="1:13" ht="28.2" thickBot="1">
      <c r="A355" s="367"/>
      <c r="B355" s="85" t="s">
        <v>246</v>
      </c>
      <c r="C355" s="573" t="s">
        <v>233</v>
      </c>
      <c r="D355" s="86">
        <v>0</v>
      </c>
      <c r="E355" s="494" t="s">
        <v>110</v>
      </c>
      <c r="F355" s="278">
        <f>IF(A355=1,(D355),IF(A355=0,0))</f>
        <v>0</v>
      </c>
      <c r="G355" s="537">
        <v>50</v>
      </c>
      <c r="H355" s="12">
        <f t="shared" si="20"/>
        <v>0</v>
      </c>
      <c r="I355" s="554"/>
    </row>
    <row r="356" spans="1:13" ht="28.2" thickBot="1">
      <c r="A356" s="367"/>
      <c r="B356" s="85" t="s">
        <v>235</v>
      </c>
      <c r="C356" s="573" t="s">
        <v>234</v>
      </c>
      <c r="D356" s="86">
        <v>0</v>
      </c>
      <c r="E356" s="494" t="s">
        <v>110</v>
      </c>
      <c r="F356" s="278">
        <f>IF(A356=1,(D356),IF(A356=0,0))</f>
        <v>0</v>
      </c>
      <c r="G356" s="537">
        <v>60</v>
      </c>
      <c r="H356" s="12">
        <f t="shared" si="20"/>
        <v>0</v>
      </c>
      <c r="I356" s="554"/>
    </row>
    <row r="357" spans="1:13" ht="6.75" customHeight="1">
      <c r="A357" s="6"/>
      <c r="B357" s="7"/>
      <c r="C357" s="7"/>
      <c r="D357" s="7"/>
      <c r="E357" s="7"/>
      <c r="F357" s="250"/>
      <c r="G357" s="537"/>
      <c r="H357" s="55"/>
    </row>
    <row r="358" spans="1:13" ht="14.4" thickBot="1">
      <c r="A358" s="6"/>
      <c r="B358" s="82" t="s">
        <v>56</v>
      </c>
      <c r="C358" s="7"/>
      <c r="D358" s="7"/>
      <c r="E358" s="7"/>
      <c r="F358" s="260"/>
      <c r="G358" s="7"/>
      <c r="H358" s="55"/>
    </row>
    <row r="359" spans="1:13" ht="15" customHeight="1" thickBot="1">
      <c r="A359" s="367"/>
      <c r="B359" s="74" t="s">
        <v>239</v>
      </c>
      <c r="C359" s="573" t="s">
        <v>227</v>
      </c>
      <c r="D359" s="86"/>
      <c r="E359" s="496" t="s">
        <v>154</v>
      </c>
      <c r="F359" s="244">
        <v>0</v>
      </c>
      <c r="G359" s="537">
        <v>6000</v>
      </c>
      <c r="H359" s="12">
        <f t="shared" ref="H359:H365" si="21">F359*G359</f>
        <v>0</v>
      </c>
      <c r="M359" s="88"/>
    </row>
    <row r="360" spans="1:13" ht="15" customHeight="1" thickBot="1">
      <c r="A360" s="367"/>
      <c r="B360" s="74" t="s">
        <v>242</v>
      </c>
      <c r="C360" s="573" t="s">
        <v>227</v>
      </c>
      <c r="D360" s="87"/>
      <c r="E360" s="496" t="s">
        <v>154</v>
      </c>
      <c r="F360" s="244">
        <v>0</v>
      </c>
      <c r="G360" s="537">
        <v>7500</v>
      </c>
      <c r="H360" s="12">
        <f t="shared" si="21"/>
        <v>0</v>
      </c>
      <c r="M360" s="88"/>
    </row>
    <row r="361" spans="1:13" ht="15" customHeight="1" thickBot="1">
      <c r="A361" s="367"/>
      <c r="B361" s="57" t="s">
        <v>241</v>
      </c>
      <c r="C361" s="574" t="s">
        <v>244</v>
      </c>
      <c r="D361" s="87">
        <v>0</v>
      </c>
      <c r="E361" s="494" t="s">
        <v>153</v>
      </c>
      <c r="F361" s="244">
        <v>0</v>
      </c>
      <c r="G361" s="537">
        <v>40</v>
      </c>
      <c r="H361" s="12">
        <f t="shared" si="21"/>
        <v>0</v>
      </c>
      <c r="M361" s="88"/>
    </row>
    <row r="362" spans="1:13" ht="15" customHeight="1" thickBot="1">
      <c r="A362" s="367"/>
      <c r="B362" s="57" t="s">
        <v>240</v>
      </c>
      <c r="C362" s="573" t="s">
        <v>243</v>
      </c>
      <c r="D362" s="86">
        <v>0</v>
      </c>
      <c r="E362" s="496" t="s">
        <v>110</v>
      </c>
      <c r="F362" s="244">
        <f>D362*70</f>
        <v>0</v>
      </c>
      <c r="G362" s="537">
        <v>50</v>
      </c>
      <c r="H362" s="12">
        <f t="shared" si="21"/>
        <v>0</v>
      </c>
      <c r="I362" s="554"/>
      <c r="M362" s="88"/>
    </row>
    <row r="363" spans="1:13" ht="28.2" thickBot="1">
      <c r="A363" s="367"/>
      <c r="B363" s="74" t="s">
        <v>58</v>
      </c>
      <c r="C363" s="573" t="s">
        <v>227</v>
      </c>
      <c r="D363" s="86">
        <v>0</v>
      </c>
      <c r="E363" s="496" t="s">
        <v>154</v>
      </c>
      <c r="F363" s="278">
        <f>ROUNDUP(D363/2,0)</f>
        <v>0</v>
      </c>
      <c r="G363" s="537">
        <v>1200</v>
      </c>
      <c r="H363" s="12">
        <f t="shared" si="21"/>
        <v>0</v>
      </c>
    </row>
    <row r="364" spans="1:13" ht="28.2" thickBot="1">
      <c r="A364" s="367"/>
      <c r="B364" s="85" t="s">
        <v>245</v>
      </c>
      <c r="C364" s="573" t="s">
        <v>233</v>
      </c>
      <c r="D364" s="86">
        <v>0</v>
      </c>
      <c r="E364" s="494" t="s">
        <v>110</v>
      </c>
      <c r="F364" s="279">
        <f>IF(A364=1,(D364),IF(A364=0,0))</f>
        <v>0</v>
      </c>
      <c r="G364" s="537">
        <v>60</v>
      </c>
      <c r="H364" s="12">
        <f t="shared" si="21"/>
        <v>0</v>
      </c>
      <c r="I364" s="554"/>
    </row>
    <row r="365" spans="1:13" ht="15" customHeight="1" thickBot="1">
      <c r="A365" s="367"/>
      <c r="B365" s="57" t="s">
        <v>68</v>
      </c>
      <c r="C365" s="575">
        <v>0.15</v>
      </c>
      <c r="D365" s="86">
        <f>IF(A359=1,H359,IF(A359=0,0))+IF(A360=1,H360,IF(A360=0,0))+IF(A361=1,H361,IF(A361=0,0))+IF(A362=1,H362,IF(A362=0,0))+IF(A363=1,H363,IF(A363=0,0))</f>
        <v>0</v>
      </c>
      <c r="E365" s="522"/>
      <c r="F365" s="280">
        <f>IF(A365=1,D365,IF(A365=0,0))</f>
        <v>0</v>
      </c>
      <c r="G365" s="548">
        <v>0.15</v>
      </c>
      <c r="H365" s="12">
        <f t="shared" si="21"/>
        <v>0</v>
      </c>
      <c r="M365" s="88"/>
    </row>
    <row r="366" spans="1:13" ht="7.5" customHeight="1">
      <c r="A366" s="6"/>
      <c r="B366" s="7"/>
      <c r="C366" s="7"/>
      <c r="D366" s="7"/>
      <c r="E366" s="7"/>
      <c r="F366" s="250"/>
      <c r="G366" s="537"/>
      <c r="H366" s="55"/>
    </row>
    <row r="367" spans="1:13" ht="14.4" thickBot="1">
      <c r="A367" s="6"/>
      <c r="B367" s="82" t="s">
        <v>57</v>
      </c>
      <c r="C367" s="24"/>
      <c r="D367" s="7"/>
      <c r="E367" s="7"/>
      <c r="F367" s="260"/>
      <c r="G367" s="7"/>
      <c r="H367" s="55"/>
    </row>
    <row r="368" spans="1:13" ht="18.75" customHeight="1" thickBot="1">
      <c r="A368" s="367"/>
      <c r="B368" s="74" t="s">
        <v>236</v>
      </c>
      <c r="C368" s="573" t="s">
        <v>227</v>
      </c>
      <c r="D368" s="86"/>
      <c r="E368" s="494" t="s">
        <v>110</v>
      </c>
      <c r="F368" s="244"/>
      <c r="G368" s="537">
        <v>3500</v>
      </c>
      <c r="H368" s="12">
        <f t="shared" ref="H368:H373" si="22">F368*G368</f>
        <v>0</v>
      </c>
    </row>
    <row r="369" spans="1:9" ht="15" customHeight="1" thickBot="1">
      <c r="A369" s="367"/>
      <c r="B369" s="74" t="s">
        <v>237</v>
      </c>
      <c r="C369" s="573" t="s">
        <v>228</v>
      </c>
      <c r="D369" s="87"/>
      <c r="E369" s="494" t="s">
        <v>110</v>
      </c>
      <c r="F369" s="244"/>
      <c r="G369" s="537">
        <v>4500</v>
      </c>
      <c r="H369" s="12">
        <f t="shared" si="22"/>
        <v>0</v>
      </c>
    </row>
    <row r="370" spans="1:9" ht="15" customHeight="1" thickBot="1">
      <c r="A370" s="367"/>
      <c r="B370" s="74" t="s">
        <v>238</v>
      </c>
      <c r="C370" s="574" t="s">
        <v>244</v>
      </c>
      <c r="D370" s="87">
        <v>0</v>
      </c>
      <c r="E370" s="494" t="s">
        <v>110</v>
      </c>
      <c r="F370" s="244"/>
      <c r="G370" s="537">
        <v>5500</v>
      </c>
      <c r="H370" s="12">
        <f t="shared" si="22"/>
        <v>0</v>
      </c>
    </row>
    <row r="371" spans="1:9" ht="19.5" customHeight="1" thickBot="1">
      <c r="A371" s="367"/>
      <c r="B371" s="74" t="s">
        <v>58</v>
      </c>
      <c r="C371" s="573" t="s">
        <v>227</v>
      </c>
      <c r="D371" s="86">
        <v>0</v>
      </c>
      <c r="E371" s="494" t="s">
        <v>110</v>
      </c>
      <c r="F371" s="278">
        <f>ROUNDUP(D371/2,0)</f>
        <v>0</v>
      </c>
      <c r="G371" s="537">
        <v>1200</v>
      </c>
      <c r="H371" s="12">
        <f t="shared" si="22"/>
        <v>0</v>
      </c>
    </row>
    <row r="372" spans="1:9" ht="21.75" customHeight="1" thickBot="1">
      <c r="A372" s="367"/>
      <c r="B372" s="85" t="s">
        <v>245</v>
      </c>
      <c r="C372" s="573" t="s">
        <v>233</v>
      </c>
      <c r="D372" s="86"/>
      <c r="E372" s="494" t="s">
        <v>110</v>
      </c>
      <c r="F372" s="279"/>
      <c r="G372" s="537">
        <v>60</v>
      </c>
      <c r="H372" s="12">
        <f t="shared" si="22"/>
        <v>0</v>
      </c>
    </row>
    <row r="373" spans="1:9" ht="15" customHeight="1" thickBot="1">
      <c r="A373" s="367"/>
      <c r="B373" s="57" t="s">
        <v>68</v>
      </c>
      <c r="C373" s="575">
        <v>0.15</v>
      </c>
      <c r="D373" s="86">
        <f>IF(A367=1,H367,IF(A367=0,0))+IF(A368=1,H368,IF(A368=0,0))+IF(A369=1,H369,IF(A369=0,0))+IF(A370=1,H370,IF(A370=0,0))+IF(A371=1,H371,IF(A371=0,0))</f>
        <v>0</v>
      </c>
      <c r="E373" s="522"/>
      <c r="F373" s="280"/>
      <c r="G373" s="549">
        <f>G372*15%</f>
        <v>9</v>
      </c>
      <c r="H373" s="12">
        <f t="shared" si="22"/>
        <v>0</v>
      </c>
    </row>
    <row r="374" spans="1:9" ht="6.75" customHeight="1" thickBot="1">
      <c r="A374" s="6"/>
      <c r="B374" s="7"/>
      <c r="C374" s="24"/>
      <c r="D374" s="7"/>
      <c r="E374" s="7"/>
      <c r="F374" s="250"/>
      <c r="G374" s="537"/>
      <c r="H374" s="55"/>
    </row>
    <row r="375" spans="1:9" ht="14.4" thickBot="1">
      <c r="A375" s="367"/>
      <c r="B375" s="85" t="s">
        <v>444</v>
      </c>
      <c r="C375" s="573"/>
      <c r="D375" s="86"/>
      <c r="E375" s="496" t="s">
        <v>154</v>
      </c>
      <c r="F375" s="278"/>
      <c r="G375" s="537">
        <v>300</v>
      </c>
      <c r="H375" s="12">
        <f>F375*G375</f>
        <v>0</v>
      </c>
      <c r="I375" s="554"/>
    </row>
    <row r="376" spans="1:9" ht="14.4" thickBot="1">
      <c r="A376" s="367"/>
      <c r="B376" s="85" t="s">
        <v>445</v>
      </c>
      <c r="C376" s="573"/>
      <c r="D376" s="86"/>
      <c r="E376" s="494" t="s">
        <v>443</v>
      </c>
      <c r="F376" s="278"/>
      <c r="G376" s="537">
        <v>1700</v>
      </c>
      <c r="H376" s="12">
        <f>F376*G376</f>
        <v>0</v>
      </c>
      <c r="I376" s="554"/>
    </row>
    <row r="377" spans="1:9" ht="14.4" thickBot="1">
      <c r="A377" s="6"/>
      <c r="B377" s="82" t="s">
        <v>432</v>
      </c>
      <c r="C377" s="24" t="s">
        <v>433</v>
      </c>
      <c r="D377" s="7"/>
      <c r="E377" s="494" t="s">
        <v>110</v>
      </c>
      <c r="F377" s="244"/>
      <c r="G377" s="537">
        <v>25</v>
      </c>
      <c r="H377" s="12">
        <f>F377*G377</f>
        <v>0</v>
      </c>
    </row>
    <row r="378" spans="1:9" ht="6" customHeight="1" thickBot="1">
      <c r="A378" s="6"/>
      <c r="B378" s="7"/>
      <c r="C378" s="24"/>
      <c r="D378" s="7"/>
      <c r="E378" s="52"/>
      <c r="F378" s="250"/>
      <c r="G378" s="537"/>
      <c r="H378" s="55"/>
    </row>
    <row r="379" spans="1:9" ht="14.4" thickBot="1">
      <c r="A379" s="6"/>
      <c r="B379" s="89" t="s">
        <v>87</v>
      </c>
      <c r="C379" s="24" t="s">
        <v>59</v>
      </c>
      <c r="D379" s="7"/>
      <c r="E379" s="494" t="s">
        <v>110</v>
      </c>
      <c r="F379" s="244"/>
      <c r="G379" s="537">
        <v>50</v>
      </c>
      <c r="H379" s="12">
        <f>F379*G379</f>
        <v>0</v>
      </c>
    </row>
    <row r="380" spans="1:9" ht="6" customHeight="1" thickBot="1">
      <c r="A380" s="6"/>
      <c r="B380" s="7"/>
      <c r="C380" s="24"/>
      <c r="D380" s="7"/>
      <c r="E380" s="7"/>
      <c r="F380" s="250"/>
      <c r="G380" s="537"/>
      <c r="H380" s="55">
        <f>F380*G380</f>
        <v>0</v>
      </c>
    </row>
    <row r="381" spans="1:9" ht="14.4" thickBot="1">
      <c r="A381" s="6"/>
      <c r="B381" s="82" t="s">
        <v>247</v>
      </c>
      <c r="C381" s="24"/>
      <c r="D381" s="7"/>
      <c r="E381" s="494" t="s">
        <v>154</v>
      </c>
      <c r="F381" s="244"/>
      <c r="G381" s="537">
        <v>2600</v>
      </c>
      <c r="H381" s="12">
        <f>F381*G381</f>
        <v>0</v>
      </c>
    </row>
    <row r="382" spans="1:9" ht="6" customHeight="1" thickBot="1">
      <c r="A382" s="6"/>
      <c r="B382" s="7"/>
      <c r="C382" s="24"/>
      <c r="D382" s="7"/>
      <c r="E382" s="7"/>
      <c r="F382" s="250"/>
      <c r="G382" s="537"/>
      <c r="H382" s="55"/>
    </row>
    <row r="383" spans="1:9" ht="14.4" thickBot="1">
      <c r="A383" s="6"/>
      <c r="B383" s="82" t="s">
        <v>248</v>
      </c>
      <c r="C383" s="24" t="s">
        <v>249</v>
      </c>
      <c r="D383" s="7"/>
      <c r="E383" s="494" t="s">
        <v>110</v>
      </c>
      <c r="F383" s="244"/>
      <c r="G383" s="537">
        <v>90</v>
      </c>
      <c r="H383" s="12">
        <f>F383*G383</f>
        <v>0</v>
      </c>
    </row>
    <row r="384" spans="1:9" ht="6" customHeight="1" thickBot="1">
      <c r="A384" s="6"/>
      <c r="B384" s="7"/>
      <c r="C384" s="24"/>
      <c r="D384" s="7"/>
      <c r="E384" s="7"/>
      <c r="F384" s="250"/>
      <c r="G384" s="537"/>
      <c r="H384" s="55"/>
    </row>
    <row r="385" spans="1:26" ht="14.4" thickBot="1">
      <c r="A385" s="6"/>
      <c r="B385" s="82" t="s">
        <v>69</v>
      </c>
      <c r="C385" s="24" t="s">
        <v>249</v>
      </c>
      <c r="D385" s="7"/>
      <c r="E385" s="494" t="s">
        <v>110</v>
      </c>
      <c r="F385" s="244"/>
      <c r="G385" s="537">
        <v>150</v>
      </c>
      <c r="H385" s="12">
        <f>F385*G385</f>
        <v>0</v>
      </c>
    </row>
    <row r="386" spans="1:26" ht="14.4" thickBot="1">
      <c r="A386" s="6"/>
      <c r="B386" s="7"/>
      <c r="C386" s="24"/>
      <c r="D386" s="7"/>
      <c r="E386" s="7"/>
      <c r="F386" s="250"/>
      <c r="G386" s="54"/>
      <c r="H386" s="55"/>
    </row>
    <row r="387" spans="1:26" ht="18.600000000000001" thickBot="1">
      <c r="A387" s="6"/>
      <c r="B387" s="333" t="s">
        <v>297</v>
      </c>
      <c r="C387" s="516"/>
      <c r="D387" s="334"/>
      <c r="E387" s="516"/>
      <c r="F387" s="334"/>
      <c r="G387" s="516"/>
      <c r="H387" s="124">
        <f>H399</f>
        <v>0</v>
      </c>
    </row>
    <row r="388" spans="1:26" ht="14.4" thickBot="1">
      <c r="A388" s="6"/>
      <c r="B388" s="7"/>
      <c r="C388" s="7"/>
      <c r="D388" s="7"/>
      <c r="E388" s="7"/>
      <c r="F388" s="250"/>
      <c r="G388" s="54"/>
      <c r="H388" s="55"/>
      <c r="M388" s="58"/>
    </row>
    <row r="389" spans="1:26" ht="15" customHeight="1" thickBot="1">
      <c r="A389" s="403"/>
      <c r="B389" s="404" t="s">
        <v>156</v>
      </c>
      <c r="C389" s="576" t="s">
        <v>22</v>
      </c>
      <c r="D389" s="404"/>
      <c r="E389" s="523" t="s">
        <v>110</v>
      </c>
      <c r="F389" s="405">
        <f>IF(A389=1,D6+D7+D8+D9+#REF!+D10+#REF!+D16,0)</f>
        <v>0</v>
      </c>
      <c r="G389" s="550">
        <v>90</v>
      </c>
      <c r="H389" s="406">
        <f>F389*G389</f>
        <v>0</v>
      </c>
    </row>
    <row r="390" spans="1:26" ht="6.75" customHeight="1" thickBot="1">
      <c r="A390" s="407"/>
      <c r="B390" s="408"/>
      <c r="C390" s="577"/>
      <c r="D390" s="408"/>
      <c r="E390" s="524"/>
      <c r="F390" s="409"/>
      <c r="G390" s="551"/>
      <c r="H390" s="410"/>
    </row>
    <row r="391" spans="1:26" ht="15" customHeight="1" thickBot="1">
      <c r="A391" s="411">
        <v>0</v>
      </c>
      <c r="B391" s="408" t="s">
        <v>251</v>
      </c>
      <c r="C391" s="577" t="s">
        <v>22</v>
      </c>
      <c r="D391" s="408"/>
      <c r="E391" s="525" t="s">
        <v>110</v>
      </c>
      <c r="F391" s="412">
        <f>IF(A391=1,D6+D7+D8,0)</f>
        <v>0</v>
      </c>
      <c r="G391" s="551">
        <v>50</v>
      </c>
      <c r="H391" s="413">
        <f>F391*G391</f>
        <v>0</v>
      </c>
    </row>
    <row r="392" spans="1:26" ht="6.75" customHeight="1" thickBot="1">
      <c r="A392" s="407"/>
      <c r="B392" s="408"/>
      <c r="C392" s="577"/>
      <c r="D392" s="408"/>
      <c r="E392" s="408"/>
      <c r="F392" s="409"/>
      <c r="G392" s="551"/>
      <c r="H392" s="410"/>
    </row>
    <row r="393" spans="1:26" ht="15" customHeight="1" thickBot="1">
      <c r="A393" s="411">
        <v>0</v>
      </c>
      <c r="B393" s="408" t="s">
        <v>60</v>
      </c>
      <c r="C393" s="577" t="s">
        <v>22</v>
      </c>
      <c r="D393" s="408"/>
      <c r="E393" s="525" t="s">
        <v>110</v>
      </c>
      <c r="F393" s="412">
        <f>IF(A393=1,#REF!+D10+#REF!+D16+D6+D7+D8+D9,0)</f>
        <v>0</v>
      </c>
      <c r="G393" s="551">
        <v>90</v>
      </c>
      <c r="H393" s="413">
        <f>F393*G393</f>
        <v>0</v>
      </c>
    </row>
    <row r="394" spans="1:26" ht="6.75" customHeight="1" thickBot="1">
      <c r="A394" s="407"/>
      <c r="B394" s="408"/>
      <c r="C394" s="577"/>
      <c r="D394" s="408"/>
      <c r="E394" s="408"/>
      <c r="F394" s="409"/>
      <c r="G394" s="551"/>
      <c r="H394" s="410"/>
    </row>
    <row r="395" spans="1:26" ht="15" customHeight="1" thickBot="1">
      <c r="A395" s="411">
        <v>0</v>
      </c>
      <c r="B395" s="408" t="s">
        <v>66</v>
      </c>
      <c r="C395" s="577" t="s">
        <v>22</v>
      </c>
      <c r="D395" s="408"/>
      <c r="E395" s="525" t="s">
        <v>110</v>
      </c>
      <c r="F395" s="412">
        <f>IF(A395=1,#REF!+D16+D6+D7+D8+D9+#REF!+D10,0)</f>
        <v>0</v>
      </c>
      <c r="G395" s="551">
        <v>40</v>
      </c>
      <c r="H395" s="413">
        <f>F395*G395</f>
        <v>0</v>
      </c>
    </row>
    <row r="396" spans="1:26" ht="6.75" customHeight="1" thickBot="1">
      <c r="A396" s="407"/>
      <c r="B396" s="408"/>
      <c r="C396" s="577"/>
      <c r="D396" s="408"/>
      <c r="E396" s="408"/>
      <c r="F396" s="409"/>
      <c r="G396" s="551"/>
      <c r="H396" s="410"/>
    </row>
    <row r="397" spans="1:26" ht="14.4" thickBot="1">
      <c r="A397" s="414">
        <v>0</v>
      </c>
      <c r="B397" s="415" t="s">
        <v>67</v>
      </c>
      <c r="C397" s="578" t="s">
        <v>22</v>
      </c>
      <c r="D397" s="415"/>
      <c r="E397" s="526" t="s">
        <v>110</v>
      </c>
      <c r="F397" s="416">
        <f>IF(A397=1,D6+D7+D8+D9+#REF!+D10+#REF!+D16,0)</f>
        <v>0</v>
      </c>
      <c r="G397" s="552">
        <v>60</v>
      </c>
      <c r="H397" s="417">
        <f>F397*G397</f>
        <v>0</v>
      </c>
    </row>
    <row r="398" spans="1:26" ht="6.75" customHeight="1" thickBot="1">
      <c r="A398" s="6"/>
      <c r="B398" s="7"/>
      <c r="C398" s="7"/>
      <c r="D398" s="7"/>
      <c r="E398" s="7"/>
      <c r="F398" s="250"/>
      <c r="G398" s="537"/>
      <c r="H398" s="55"/>
    </row>
    <row r="399" spans="1:26" ht="14.4" thickBot="1">
      <c r="A399" s="6"/>
      <c r="B399" s="147" t="s">
        <v>321</v>
      </c>
      <c r="C399" s="579"/>
      <c r="D399" s="114"/>
      <c r="E399" s="602" t="s">
        <v>355</v>
      </c>
      <c r="F399" s="603"/>
      <c r="G399" s="604"/>
      <c r="H399" s="148">
        <f>SUM(H401:H449)</f>
        <v>0</v>
      </c>
      <c r="W399"/>
      <c r="X399"/>
      <c r="Y399"/>
      <c r="Z399"/>
    </row>
    <row r="400" spans="1:26" ht="14.4" thickBot="1">
      <c r="A400" s="6"/>
      <c r="B400" s="92" t="s">
        <v>332</v>
      </c>
      <c r="C400" s="24"/>
      <c r="D400" s="7"/>
      <c r="E400" s="7"/>
      <c r="F400" s="260"/>
      <c r="G400" s="7"/>
      <c r="H400" s="55"/>
      <c r="W400"/>
      <c r="X400"/>
      <c r="Y400"/>
      <c r="Z400"/>
    </row>
    <row r="401" spans="1:26" ht="14.4" thickBot="1">
      <c r="A401" s="367"/>
      <c r="B401" s="7" t="s">
        <v>322</v>
      </c>
      <c r="C401" s="580" t="s">
        <v>434</v>
      </c>
      <c r="D401" s="149"/>
      <c r="E401" s="494" t="s">
        <v>154</v>
      </c>
      <c r="F401" s="253"/>
      <c r="G401" s="537">
        <v>900</v>
      </c>
      <c r="H401" s="150">
        <f t="shared" ref="H401:H422" si="23">F401*G401</f>
        <v>0</v>
      </c>
      <c r="I401" s="605" t="s">
        <v>356</v>
      </c>
      <c r="J401" s="606"/>
      <c r="K401" s="611" t="s">
        <v>365</v>
      </c>
      <c r="L401" s="612"/>
      <c r="M401" s="151">
        <v>1000</v>
      </c>
      <c r="N401" s="63"/>
      <c r="W401"/>
      <c r="X401"/>
      <c r="Y401"/>
      <c r="Z401"/>
    </row>
    <row r="402" spans="1:26" ht="14.4" thickBot="1">
      <c r="A402" s="6"/>
      <c r="B402" s="7" t="s">
        <v>323</v>
      </c>
      <c r="C402" s="581"/>
      <c r="D402" s="145"/>
      <c r="E402" s="494" t="s">
        <v>154</v>
      </c>
      <c r="F402" s="244"/>
      <c r="G402" s="537">
        <v>90</v>
      </c>
      <c r="H402" s="150">
        <f t="shared" si="23"/>
        <v>0</v>
      </c>
      <c r="I402" s="607"/>
      <c r="J402" s="608"/>
      <c r="K402" s="593" t="s">
        <v>357</v>
      </c>
      <c r="L402" s="594"/>
      <c r="M402" s="152">
        <v>1800</v>
      </c>
      <c r="N402" s="63">
        <f>IF(C401&gt;200&lt;400,1,0)</f>
        <v>0</v>
      </c>
      <c r="W402"/>
      <c r="X402"/>
      <c r="Y402"/>
      <c r="Z402"/>
    </row>
    <row r="403" spans="1:26" ht="14.4" thickBot="1">
      <c r="A403" s="6"/>
      <c r="B403" s="7" t="s">
        <v>404</v>
      </c>
      <c r="C403" s="581"/>
      <c r="D403" s="145"/>
      <c r="E403" s="494" t="s">
        <v>154</v>
      </c>
      <c r="F403" s="244"/>
      <c r="G403" s="537">
        <v>150</v>
      </c>
      <c r="H403" s="150">
        <f t="shared" si="23"/>
        <v>0</v>
      </c>
      <c r="I403" s="607"/>
      <c r="J403" s="608"/>
      <c r="K403" s="593" t="s">
        <v>358</v>
      </c>
      <c r="L403" s="594"/>
      <c r="M403" s="152">
        <v>2600</v>
      </c>
      <c r="N403" s="63"/>
      <c r="W403"/>
      <c r="X403"/>
      <c r="Y403"/>
      <c r="Z403"/>
    </row>
    <row r="404" spans="1:26" ht="14.4" thickBot="1">
      <c r="A404" s="6"/>
      <c r="B404" s="7" t="s">
        <v>324</v>
      </c>
      <c r="C404" s="581"/>
      <c r="D404" s="145"/>
      <c r="E404" s="494" t="s">
        <v>154</v>
      </c>
      <c r="F404" s="244"/>
      <c r="G404" s="537">
        <v>600</v>
      </c>
      <c r="H404" s="150">
        <f t="shared" si="23"/>
        <v>0</v>
      </c>
      <c r="I404" s="607"/>
      <c r="J404" s="608"/>
      <c r="K404" s="593" t="s">
        <v>359</v>
      </c>
      <c r="L404" s="594"/>
      <c r="M404" s="152">
        <v>3400</v>
      </c>
      <c r="N404" s="63"/>
      <c r="W404"/>
      <c r="X404"/>
      <c r="Y404"/>
      <c r="Z404"/>
    </row>
    <row r="405" spans="1:26" ht="14.4" thickBot="1">
      <c r="A405" s="6"/>
      <c r="B405" s="7" t="s">
        <v>325</v>
      </c>
      <c r="C405" s="581"/>
      <c r="D405" s="145"/>
      <c r="E405" s="494" t="s">
        <v>154</v>
      </c>
      <c r="F405" s="244"/>
      <c r="G405" s="537">
        <v>400</v>
      </c>
      <c r="H405" s="150">
        <f t="shared" si="23"/>
        <v>0</v>
      </c>
      <c r="I405" s="607"/>
      <c r="J405" s="608"/>
      <c r="K405" s="593" t="s">
        <v>360</v>
      </c>
      <c r="L405" s="594"/>
      <c r="M405" s="152">
        <v>4200</v>
      </c>
      <c r="N405" s="63"/>
      <c r="W405"/>
      <c r="X405"/>
      <c r="Y405"/>
      <c r="Z405"/>
    </row>
    <row r="406" spans="1:26" ht="14.4" thickBot="1">
      <c r="A406" s="6"/>
      <c r="B406" s="7" t="s">
        <v>326</v>
      </c>
      <c r="C406" s="581"/>
      <c r="D406" s="145"/>
      <c r="E406" s="494" t="s">
        <v>154</v>
      </c>
      <c r="F406" s="244"/>
      <c r="G406" s="537">
        <v>65</v>
      </c>
      <c r="H406" s="150">
        <f t="shared" si="23"/>
        <v>0</v>
      </c>
      <c r="I406" s="607"/>
      <c r="J406" s="608"/>
      <c r="K406" s="593" t="s">
        <v>361</v>
      </c>
      <c r="L406" s="594"/>
      <c r="M406" s="152">
        <v>5000</v>
      </c>
      <c r="N406" s="63"/>
      <c r="W406"/>
      <c r="X406"/>
      <c r="Y406"/>
      <c r="Z406"/>
    </row>
    <row r="407" spans="1:26" ht="14.4" thickBot="1">
      <c r="A407" s="6"/>
      <c r="B407" s="7" t="s">
        <v>405</v>
      </c>
      <c r="C407" s="581"/>
      <c r="D407" s="145"/>
      <c r="E407" s="494" t="s">
        <v>154</v>
      </c>
      <c r="F407" s="244"/>
      <c r="G407" s="537">
        <v>150</v>
      </c>
      <c r="H407" s="150">
        <f t="shared" si="23"/>
        <v>0</v>
      </c>
      <c r="I407" s="607"/>
      <c r="J407" s="608"/>
      <c r="K407" s="593" t="s">
        <v>362</v>
      </c>
      <c r="L407" s="594"/>
      <c r="M407" s="152">
        <v>5800</v>
      </c>
      <c r="N407" s="63"/>
      <c r="W407"/>
      <c r="X407"/>
      <c r="Y407"/>
      <c r="Z407"/>
    </row>
    <row r="408" spans="1:26" ht="14.4" thickBot="1">
      <c r="A408" s="6"/>
      <c r="B408" s="7" t="s">
        <v>405</v>
      </c>
      <c r="C408" s="581"/>
      <c r="D408" s="145"/>
      <c r="E408" s="494" t="s">
        <v>154</v>
      </c>
      <c r="F408" s="244"/>
      <c r="G408" s="537">
        <v>250</v>
      </c>
      <c r="H408" s="150">
        <f t="shared" si="23"/>
        <v>0</v>
      </c>
      <c r="I408" s="607"/>
      <c r="J408" s="608"/>
      <c r="K408" s="593" t="s">
        <v>363</v>
      </c>
      <c r="L408" s="594"/>
      <c r="M408" s="152">
        <v>6600</v>
      </c>
      <c r="N408" s="63"/>
      <c r="W408"/>
      <c r="X408"/>
      <c r="Y408"/>
      <c r="Z408"/>
    </row>
    <row r="409" spans="1:26" ht="14.4" thickBot="1">
      <c r="A409" s="6"/>
      <c r="B409" s="7" t="s">
        <v>405</v>
      </c>
      <c r="C409" s="581"/>
      <c r="D409" s="145"/>
      <c r="E409" s="494" t="s">
        <v>154</v>
      </c>
      <c r="F409" s="244"/>
      <c r="G409" s="537">
        <v>250</v>
      </c>
      <c r="H409" s="150">
        <f t="shared" si="23"/>
        <v>0</v>
      </c>
      <c r="I409" s="609"/>
      <c r="J409" s="610"/>
      <c r="K409" s="595" t="s">
        <v>364</v>
      </c>
      <c r="L409" s="596"/>
      <c r="M409" s="153">
        <v>7400</v>
      </c>
      <c r="N409" s="63"/>
      <c r="W409"/>
      <c r="X409"/>
      <c r="Y409"/>
      <c r="Z409"/>
    </row>
    <row r="410" spans="1:26" ht="14.4" thickBot="1">
      <c r="A410" s="6"/>
      <c r="B410" s="7" t="s">
        <v>406</v>
      </c>
      <c r="C410" s="581"/>
      <c r="D410" s="145"/>
      <c r="E410" s="494" t="s">
        <v>154</v>
      </c>
      <c r="F410" s="244"/>
      <c r="G410" s="537">
        <v>110</v>
      </c>
      <c r="H410" s="12">
        <f t="shared" si="23"/>
        <v>0</v>
      </c>
      <c r="W410"/>
      <c r="X410"/>
      <c r="Y410"/>
      <c r="Z410"/>
    </row>
    <row r="411" spans="1:26" ht="14.4" thickBot="1">
      <c r="A411" s="6"/>
      <c r="B411" s="7" t="s">
        <v>327</v>
      </c>
      <c r="C411" s="581"/>
      <c r="D411" s="145"/>
      <c r="E411" s="494" t="s">
        <v>154</v>
      </c>
      <c r="F411" s="244"/>
      <c r="G411" s="537">
        <v>72</v>
      </c>
      <c r="H411" s="12">
        <f t="shared" si="23"/>
        <v>0</v>
      </c>
      <c r="W411"/>
      <c r="X411"/>
      <c r="Y411"/>
      <c r="Z411"/>
    </row>
    <row r="412" spans="1:26" ht="14.4" thickBot="1">
      <c r="A412" s="6"/>
      <c r="B412" s="7" t="s">
        <v>328</v>
      </c>
      <c r="C412" s="581"/>
      <c r="D412" s="145"/>
      <c r="E412" s="494" t="s">
        <v>154</v>
      </c>
      <c r="F412" s="244"/>
      <c r="G412" s="537">
        <v>120</v>
      </c>
      <c r="H412" s="12">
        <f t="shared" si="23"/>
        <v>0</v>
      </c>
      <c r="W412"/>
      <c r="X412"/>
      <c r="Y412"/>
      <c r="Z412"/>
    </row>
    <row r="413" spans="1:26" ht="14.4" thickBot="1">
      <c r="A413" s="6"/>
      <c r="B413" s="7" t="s">
        <v>437</v>
      </c>
      <c r="C413" s="581"/>
      <c r="D413" s="145"/>
      <c r="E413" s="494" t="s">
        <v>154</v>
      </c>
      <c r="F413" s="244"/>
      <c r="G413" s="537">
        <v>150</v>
      </c>
      <c r="H413" s="12">
        <f t="shared" si="23"/>
        <v>0</v>
      </c>
      <c r="W413"/>
      <c r="X413"/>
      <c r="Y413"/>
      <c r="Z413"/>
    </row>
    <row r="414" spans="1:26" ht="14.4" thickBot="1">
      <c r="A414" s="6"/>
      <c r="B414" s="7" t="s">
        <v>329</v>
      </c>
      <c r="C414" s="581"/>
      <c r="D414" s="145"/>
      <c r="E414" s="494" t="s">
        <v>154</v>
      </c>
      <c r="F414" s="244"/>
      <c r="G414" s="537">
        <v>45</v>
      </c>
      <c r="H414" s="12">
        <f t="shared" si="23"/>
        <v>0</v>
      </c>
      <c r="W414"/>
      <c r="X414"/>
      <c r="Y414"/>
      <c r="Z414"/>
    </row>
    <row r="415" spans="1:26" ht="14.4" thickBot="1">
      <c r="A415" s="6"/>
      <c r="B415" s="7" t="s">
        <v>330</v>
      </c>
      <c r="C415" s="581"/>
      <c r="D415" s="145"/>
      <c r="E415" s="494" t="s">
        <v>154</v>
      </c>
      <c r="F415" s="244"/>
      <c r="G415" s="537">
        <v>70</v>
      </c>
      <c r="H415" s="12">
        <f t="shared" si="23"/>
        <v>0</v>
      </c>
      <c r="W415"/>
      <c r="X415"/>
      <c r="Y415"/>
      <c r="Z415"/>
    </row>
    <row r="416" spans="1:26" ht="14.4" thickBot="1">
      <c r="A416" s="6"/>
      <c r="B416" s="7" t="s">
        <v>331</v>
      </c>
      <c r="C416" s="581"/>
      <c r="D416" s="145"/>
      <c r="E416" s="494" t="s">
        <v>154</v>
      </c>
      <c r="F416" s="244"/>
      <c r="G416" s="537">
        <v>105</v>
      </c>
      <c r="H416" s="12">
        <f t="shared" si="23"/>
        <v>0</v>
      </c>
      <c r="W416"/>
      <c r="X416"/>
      <c r="Y416"/>
      <c r="Z416"/>
    </row>
    <row r="417" spans="1:26" ht="14.4" thickBot="1">
      <c r="A417" s="6"/>
      <c r="B417" s="7" t="s">
        <v>438</v>
      </c>
      <c r="C417" s="581"/>
      <c r="D417" s="145"/>
      <c r="E417" s="494" t="s">
        <v>154</v>
      </c>
      <c r="F417" s="244"/>
      <c r="G417" s="537">
        <v>90</v>
      </c>
      <c r="H417" s="12">
        <f t="shared" si="23"/>
        <v>0</v>
      </c>
      <c r="W417"/>
      <c r="X417"/>
      <c r="Y417"/>
      <c r="Z417"/>
    </row>
    <row r="418" spans="1:26" ht="14.4" thickBot="1">
      <c r="A418" s="6"/>
      <c r="B418" s="7" t="s">
        <v>439</v>
      </c>
      <c r="C418" s="581"/>
      <c r="D418" s="145"/>
      <c r="E418" s="494" t="s">
        <v>154</v>
      </c>
      <c r="F418" s="254"/>
      <c r="G418" s="537">
        <v>100</v>
      </c>
      <c r="H418" s="12">
        <f>F418*G418</f>
        <v>0</v>
      </c>
      <c r="W418"/>
      <c r="X418"/>
      <c r="Y418"/>
      <c r="Z418"/>
    </row>
    <row r="419" spans="1:26" ht="14.4" thickBot="1">
      <c r="A419" s="6"/>
      <c r="B419" s="7" t="s">
        <v>435</v>
      </c>
      <c r="C419" s="581"/>
      <c r="D419" s="145"/>
      <c r="E419" s="494" t="s">
        <v>154</v>
      </c>
      <c r="F419" s="244"/>
      <c r="G419" s="537">
        <v>450</v>
      </c>
      <c r="H419" s="12">
        <f>F419*G419</f>
        <v>0</v>
      </c>
      <c r="W419"/>
      <c r="X419"/>
      <c r="Y419"/>
      <c r="Z419"/>
    </row>
    <row r="420" spans="1:26" ht="14.4" thickBot="1">
      <c r="A420" s="6"/>
      <c r="B420" s="7" t="s">
        <v>436</v>
      </c>
      <c r="C420" s="581"/>
      <c r="D420" s="145"/>
      <c r="E420" s="494" t="s">
        <v>154</v>
      </c>
      <c r="F420" s="244"/>
      <c r="G420" s="537">
        <v>60</v>
      </c>
      <c r="H420" s="12">
        <f t="shared" si="23"/>
        <v>0</v>
      </c>
      <c r="W420"/>
      <c r="X420"/>
      <c r="Y420"/>
      <c r="Z420"/>
    </row>
    <row r="421" spans="1:26" ht="14.4" thickBot="1">
      <c r="A421" s="6"/>
      <c r="B421" s="7" t="s">
        <v>334</v>
      </c>
      <c r="C421" s="581" t="s">
        <v>335</v>
      </c>
      <c r="D421" s="145"/>
      <c r="E421" s="494" t="s">
        <v>154</v>
      </c>
      <c r="F421" s="244"/>
      <c r="G421" s="537">
        <v>180</v>
      </c>
      <c r="H421" s="12">
        <f t="shared" si="23"/>
        <v>0</v>
      </c>
      <c r="W421"/>
      <c r="X421"/>
      <c r="Y421"/>
      <c r="Z421"/>
    </row>
    <row r="422" spans="1:26" ht="14.4" thickBot="1">
      <c r="A422" s="6"/>
      <c r="B422" s="7"/>
      <c r="C422" s="581" t="s">
        <v>336</v>
      </c>
      <c r="D422" s="145"/>
      <c r="E422" s="494" t="s">
        <v>154</v>
      </c>
      <c r="F422" s="244"/>
      <c r="G422" s="537">
        <v>110</v>
      </c>
      <c r="H422" s="12">
        <f t="shared" si="23"/>
        <v>0</v>
      </c>
      <c r="W422"/>
      <c r="X422"/>
      <c r="Y422"/>
      <c r="Z422"/>
    </row>
    <row r="423" spans="1:26">
      <c r="A423" s="6"/>
      <c r="B423" s="92" t="s">
        <v>333</v>
      </c>
      <c r="C423" s="24"/>
      <c r="D423" s="7"/>
      <c r="E423" s="7"/>
      <c r="F423" s="260"/>
      <c r="G423" s="7"/>
      <c r="H423" s="55"/>
      <c r="W423"/>
      <c r="X423"/>
      <c r="Y423"/>
      <c r="Z423"/>
    </row>
    <row r="424" spans="1:26" ht="14.4" thickBot="1">
      <c r="A424" s="6"/>
      <c r="B424" s="146" t="s">
        <v>337</v>
      </c>
      <c r="C424" s="24"/>
      <c r="D424" s="7"/>
      <c r="E424" s="7"/>
      <c r="F424" s="260"/>
      <c r="G424" s="7"/>
      <c r="H424" s="55"/>
      <c r="W424"/>
      <c r="X424"/>
      <c r="Y424"/>
      <c r="Z424"/>
    </row>
    <row r="425" spans="1:26" ht="14.4" thickBot="1">
      <c r="A425" s="6"/>
      <c r="B425" s="52" t="s">
        <v>340</v>
      </c>
      <c r="C425" s="581"/>
      <c r="D425" s="145"/>
      <c r="E425" s="494" t="s">
        <v>154</v>
      </c>
      <c r="F425" s="244">
        <v>0</v>
      </c>
      <c r="G425" s="537">
        <v>1980</v>
      </c>
      <c r="H425" s="12">
        <f t="shared" ref="H425:H445" si="24">F425*G425</f>
        <v>0</v>
      </c>
      <c r="W425"/>
      <c r="X425"/>
      <c r="Y425"/>
      <c r="Z425"/>
    </row>
    <row r="426" spans="1:26" ht="14.4" thickBot="1">
      <c r="A426" s="6"/>
      <c r="B426" s="52" t="s">
        <v>341</v>
      </c>
      <c r="C426" s="581"/>
      <c r="D426" s="145"/>
      <c r="E426" s="494" t="s">
        <v>154</v>
      </c>
      <c r="F426" s="244"/>
      <c r="G426" s="537">
        <v>90</v>
      </c>
      <c r="H426" s="12">
        <f t="shared" si="24"/>
        <v>0</v>
      </c>
      <c r="W426"/>
      <c r="X426"/>
      <c r="Y426"/>
      <c r="Z426"/>
    </row>
    <row r="427" spans="1:26" ht="14.4" thickBot="1">
      <c r="A427" s="6"/>
      <c r="B427" s="52" t="s">
        <v>342</v>
      </c>
      <c r="C427" s="581"/>
      <c r="D427" s="145"/>
      <c r="E427" s="494" t="s">
        <v>154</v>
      </c>
      <c r="F427" s="244"/>
      <c r="G427" s="537">
        <v>270</v>
      </c>
      <c r="H427" s="12">
        <f t="shared" si="24"/>
        <v>0</v>
      </c>
      <c r="W427"/>
      <c r="X427"/>
      <c r="Y427"/>
      <c r="Z427"/>
    </row>
    <row r="428" spans="1:26" ht="14.4" thickBot="1">
      <c r="A428" s="6"/>
      <c r="B428" s="52" t="s">
        <v>343</v>
      </c>
      <c r="C428" s="581"/>
      <c r="D428" s="145"/>
      <c r="E428" s="494" t="s">
        <v>154</v>
      </c>
      <c r="F428" s="244"/>
      <c r="G428" s="537">
        <v>295</v>
      </c>
      <c r="H428" s="12">
        <f t="shared" si="24"/>
        <v>0</v>
      </c>
      <c r="W428"/>
      <c r="X428"/>
      <c r="Y428"/>
      <c r="Z428"/>
    </row>
    <row r="429" spans="1:26" ht="14.4" thickBot="1">
      <c r="A429" s="6"/>
      <c r="B429" s="52" t="s">
        <v>344</v>
      </c>
      <c r="C429" s="581"/>
      <c r="D429" s="145"/>
      <c r="E429" s="494" t="s">
        <v>154</v>
      </c>
      <c r="F429" s="244"/>
      <c r="G429" s="537">
        <v>260</v>
      </c>
      <c r="H429" s="12">
        <f t="shared" si="24"/>
        <v>0</v>
      </c>
      <c r="W429"/>
      <c r="X429"/>
      <c r="Y429"/>
      <c r="Z429"/>
    </row>
    <row r="430" spans="1:26" ht="14.4" thickBot="1">
      <c r="A430" s="6"/>
      <c r="B430" s="52" t="s">
        <v>345</v>
      </c>
      <c r="C430" s="581"/>
      <c r="D430" s="145"/>
      <c r="E430" s="494" t="s">
        <v>154</v>
      </c>
      <c r="F430" s="244"/>
      <c r="G430" s="537">
        <v>230</v>
      </c>
      <c r="H430" s="12">
        <f t="shared" si="24"/>
        <v>0</v>
      </c>
      <c r="W430"/>
      <c r="X430"/>
      <c r="Y430"/>
      <c r="Z430"/>
    </row>
    <row r="431" spans="1:26" ht="14.4" thickBot="1">
      <c r="A431" s="6"/>
      <c r="B431" s="52" t="s">
        <v>346</v>
      </c>
      <c r="C431" s="581"/>
      <c r="D431" s="145"/>
      <c r="E431" s="494" t="s">
        <v>154</v>
      </c>
      <c r="F431" s="244"/>
      <c r="G431" s="537">
        <v>230</v>
      </c>
      <c r="H431" s="12">
        <f t="shared" si="24"/>
        <v>0</v>
      </c>
      <c r="W431"/>
      <c r="X431"/>
      <c r="Y431"/>
      <c r="Z431"/>
    </row>
    <row r="432" spans="1:26" ht="14.4" thickBot="1">
      <c r="A432" s="6"/>
      <c r="B432" s="52" t="s">
        <v>347</v>
      </c>
      <c r="C432" s="581"/>
      <c r="D432" s="145"/>
      <c r="E432" s="494" t="s">
        <v>154</v>
      </c>
      <c r="F432" s="244"/>
      <c r="G432" s="537">
        <v>90</v>
      </c>
      <c r="H432" s="12">
        <f t="shared" si="24"/>
        <v>0</v>
      </c>
      <c r="W432"/>
      <c r="X432"/>
      <c r="Y432"/>
      <c r="Z432"/>
    </row>
    <row r="433" spans="1:26" ht="14.4" thickBot="1">
      <c r="A433" s="6"/>
      <c r="B433" s="52" t="s">
        <v>348</v>
      </c>
      <c r="C433" s="581"/>
      <c r="D433" s="145"/>
      <c r="E433" s="494" t="s">
        <v>154</v>
      </c>
      <c r="F433" s="244"/>
      <c r="G433" s="537">
        <v>800</v>
      </c>
      <c r="H433" s="12">
        <f>F433*G433</f>
        <v>0</v>
      </c>
      <c r="W433"/>
      <c r="X433"/>
      <c r="Y433"/>
      <c r="Z433"/>
    </row>
    <row r="434" spans="1:26" ht="14.4" thickBot="1">
      <c r="A434" s="6"/>
      <c r="B434" s="146" t="s">
        <v>337</v>
      </c>
      <c r="C434" s="24"/>
      <c r="D434" s="7"/>
      <c r="E434" s="7"/>
      <c r="F434" s="260"/>
      <c r="G434" s="7"/>
      <c r="H434" s="55"/>
      <c r="W434"/>
      <c r="X434"/>
      <c r="Y434"/>
      <c r="Z434"/>
    </row>
    <row r="435" spans="1:26" ht="14.4" thickBot="1">
      <c r="A435" s="6"/>
      <c r="B435" s="52" t="s">
        <v>412</v>
      </c>
      <c r="C435" s="581"/>
      <c r="D435" s="145"/>
      <c r="E435" s="494" t="s">
        <v>154</v>
      </c>
      <c r="F435" s="244"/>
      <c r="G435" s="537">
        <v>3550</v>
      </c>
      <c r="H435" s="12">
        <f>F435*G435</f>
        <v>0</v>
      </c>
      <c r="W435"/>
      <c r="X435"/>
      <c r="Y435"/>
      <c r="Z435"/>
    </row>
    <row r="436" spans="1:26" ht="14.4" thickBot="1">
      <c r="A436" s="6"/>
      <c r="B436" s="52" t="s">
        <v>413</v>
      </c>
      <c r="C436" s="581"/>
      <c r="D436" s="145"/>
      <c r="E436" s="494" t="s">
        <v>154</v>
      </c>
      <c r="F436" s="244"/>
      <c r="G436" s="537">
        <v>150</v>
      </c>
      <c r="H436" s="12">
        <f>F436*G436</f>
        <v>0</v>
      </c>
      <c r="W436"/>
      <c r="X436"/>
      <c r="Y436"/>
      <c r="Z436"/>
    </row>
    <row r="437" spans="1:26" ht="14.4" thickBot="1">
      <c r="A437" s="6"/>
      <c r="B437" s="146" t="s">
        <v>338</v>
      </c>
      <c r="C437" s="24"/>
      <c r="D437" s="7"/>
      <c r="E437" s="7"/>
      <c r="F437" s="260"/>
      <c r="G437" s="7"/>
      <c r="H437" s="55"/>
      <c r="W437"/>
      <c r="X437"/>
      <c r="Y437"/>
      <c r="Z437"/>
    </row>
    <row r="438" spans="1:26" ht="14.4" thickBot="1">
      <c r="A438" s="6"/>
      <c r="B438" s="52" t="s">
        <v>349</v>
      </c>
      <c r="C438" s="581"/>
      <c r="D438" s="145"/>
      <c r="E438" s="494" t="s">
        <v>154</v>
      </c>
      <c r="F438" s="244"/>
      <c r="G438" s="537">
        <v>720</v>
      </c>
      <c r="H438" s="12">
        <f t="shared" si="24"/>
        <v>0</v>
      </c>
      <c r="W438"/>
      <c r="X438"/>
      <c r="Y438"/>
      <c r="Z438"/>
    </row>
    <row r="439" spans="1:26" ht="14.4" thickBot="1">
      <c r="A439" s="6"/>
      <c r="B439" s="52" t="s">
        <v>350</v>
      </c>
      <c r="C439" s="581"/>
      <c r="D439" s="145"/>
      <c r="E439" s="494" t="s">
        <v>154</v>
      </c>
      <c r="F439" s="244"/>
      <c r="G439" s="537">
        <v>135</v>
      </c>
      <c r="H439" s="12">
        <f t="shared" si="24"/>
        <v>0</v>
      </c>
      <c r="W439"/>
      <c r="X439"/>
      <c r="Y439"/>
      <c r="Z439"/>
    </row>
    <row r="440" spans="1:26" ht="14.4" thickBot="1">
      <c r="A440" s="6"/>
      <c r="B440" s="52" t="s">
        <v>351</v>
      </c>
      <c r="C440" s="581"/>
      <c r="D440" s="145"/>
      <c r="E440" s="494" t="s">
        <v>154</v>
      </c>
      <c r="F440" s="244"/>
      <c r="G440" s="537">
        <v>90</v>
      </c>
      <c r="H440" s="12">
        <f t="shared" si="24"/>
        <v>0</v>
      </c>
      <c r="W440"/>
      <c r="X440"/>
      <c r="Y440"/>
      <c r="Z440"/>
    </row>
    <row r="441" spans="1:26" ht="14.4" thickBot="1">
      <c r="A441" s="6"/>
      <c r="B441" s="52" t="s">
        <v>339</v>
      </c>
      <c r="C441" s="581"/>
      <c r="D441" s="145"/>
      <c r="E441" s="7"/>
      <c r="F441" s="260"/>
      <c r="G441" s="7"/>
      <c r="H441" s="55"/>
      <c r="W441"/>
      <c r="X441"/>
      <c r="Y441"/>
      <c r="Z441"/>
    </row>
    <row r="442" spans="1:26" ht="14.4" thickBot="1">
      <c r="A442" s="6"/>
      <c r="B442" s="52" t="s">
        <v>352</v>
      </c>
      <c r="C442" s="581"/>
      <c r="D442" s="145"/>
      <c r="E442" s="494" t="s">
        <v>153</v>
      </c>
      <c r="F442" s="244"/>
      <c r="G442" s="537">
        <v>8</v>
      </c>
      <c r="H442" s="12">
        <f t="shared" si="24"/>
        <v>0</v>
      </c>
      <c r="W442"/>
      <c r="X442"/>
      <c r="Y442"/>
      <c r="Z442"/>
    </row>
    <row r="443" spans="1:26" ht="14.4" thickBot="1">
      <c r="A443" s="6"/>
      <c r="B443" s="52" t="s">
        <v>389</v>
      </c>
      <c r="C443" s="581"/>
      <c r="D443" s="145"/>
      <c r="E443" s="494" t="s">
        <v>154</v>
      </c>
      <c r="F443" s="244"/>
      <c r="G443" s="537">
        <v>45</v>
      </c>
      <c r="H443" s="12">
        <f>F443*G443</f>
        <v>0</v>
      </c>
      <c r="W443"/>
      <c r="X443"/>
      <c r="Y443"/>
      <c r="Z443"/>
    </row>
    <row r="444" spans="1:26" ht="14.4" thickBot="1">
      <c r="A444" s="6"/>
      <c r="B444" s="52" t="s">
        <v>353</v>
      </c>
      <c r="C444" s="581"/>
      <c r="D444" s="145"/>
      <c r="E444" s="494" t="s">
        <v>153</v>
      </c>
      <c r="F444" s="244"/>
      <c r="G444" s="537">
        <v>9</v>
      </c>
      <c r="H444" s="12">
        <f t="shared" si="24"/>
        <v>0</v>
      </c>
      <c r="W444"/>
      <c r="X444"/>
      <c r="Y444"/>
      <c r="Z444"/>
    </row>
    <row r="445" spans="1:26" ht="14.4" thickBot="1">
      <c r="A445" s="6"/>
      <c r="B445" s="52" t="s">
        <v>354</v>
      </c>
      <c r="C445" s="581"/>
      <c r="D445" s="145"/>
      <c r="E445" s="494" t="s">
        <v>154</v>
      </c>
      <c r="F445" s="244"/>
      <c r="G445" s="537">
        <v>270</v>
      </c>
      <c r="H445" s="12">
        <f t="shared" si="24"/>
        <v>0</v>
      </c>
      <c r="W445"/>
      <c r="X445"/>
      <c r="Y445"/>
      <c r="Z445"/>
    </row>
    <row r="446" spans="1:26" ht="14.4" thickBot="1">
      <c r="A446" s="6"/>
      <c r="B446" s="7"/>
      <c r="C446" s="24"/>
      <c r="D446" s="7"/>
      <c r="E446" s="7"/>
      <c r="F446" s="260"/>
      <c r="G446" s="7"/>
      <c r="H446" s="128"/>
      <c r="I446" s="630"/>
      <c r="J446" s="631"/>
      <c r="W446"/>
      <c r="X446"/>
      <c r="Y446"/>
      <c r="Z446"/>
    </row>
    <row r="447" spans="1:26" ht="14.4" thickBot="1">
      <c r="A447" s="6"/>
      <c r="B447" s="7" t="s">
        <v>64</v>
      </c>
      <c r="C447" s="597">
        <v>0</v>
      </c>
      <c r="D447" s="598"/>
      <c r="E447" s="527">
        <v>120</v>
      </c>
      <c r="F447" s="255">
        <f>C447*E447</f>
        <v>0</v>
      </c>
      <c r="G447" s="537">
        <v>8</v>
      </c>
      <c r="H447" s="12">
        <f>F447*G447</f>
        <v>0</v>
      </c>
      <c r="W447"/>
      <c r="X447"/>
      <c r="Y447"/>
      <c r="Z447"/>
    </row>
    <row r="448" spans="1:26" ht="14.4" thickBot="1">
      <c r="A448" s="6"/>
      <c r="B448" s="7"/>
      <c r="C448" s="24" t="s">
        <v>250</v>
      </c>
      <c r="D448" s="7"/>
      <c r="E448" s="7"/>
      <c r="F448" s="250"/>
      <c r="G448" s="537"/>
      <c r="H448" s="55"/>
      <c r="W448"/>
      <c r="X448"/>
      <c r="Y448"/>
      <c r="Z448"/>
    </row>
    <row r="449" spans="1:26" ht="14.4" thickBot="1">
      <c r="A449" s="6"/>
      <c r="B449" s="7" t="s">
        <v>65</v>
      </c>
      <c r="C449" s="597">
        <v>0</v>
      </c>
      <c r="D449" s="598"/>
      <c r="E449" s="527">
        <v>60</v>
      </c>
      <c r="F449" s="255">
        <f>C449*E449</f>
        <v>0</v>
      </c>
      <c r="G449" s="537">
        <v>8</v>
      </c>
      <c r="H449" s="12">
        <f>F449*G449</f>
        <v>0</v>
      </c>
      <c r="W449"/>
      <c r="X449"/>
      <c r="Y449"/>
      <c r="Z449"/>
    </row>
    <row r="450" spans="1:26">
      <c r="A450" s="6"/>
      <c r="B450" s="7"/>
      <c r="C450" s="24" t="s">
        <v>250</v>
      </c>
      <c r="D450" s="7"/>
      <c r="E450" s="7"/>
      <c r="F450" s="260"/>
      <c r="G450" s="7"/>
      <c r="H450" s="55"/>
      <c r="W450"/>
      <c r="X450"/>
      <c r="Y450"/>
      <c r="Z450"/>
    </row>
    <row r="451" spans="1:26" ht="14.4" thickBot="1">
      <c r="A451" s="6"/>
      <c r="B451" s="7"/>
      <c r="C451" s="7"/>
      <c r="D451" s="7"/>
      <c r="E451" s="7"/>
      <c r="F451" s="260"/>
      <c r="G451" s="7"/>
      <c r="H451" s="55"/>
      <c r="W451"/>
      <c r="X451"/>
      <c r="Y451"/>
      <c r="Z451"/>
    </row>
    <row r="452" spans="1:26" ht="20.85" customHeight="1" thickBot="1">
      <c r="A452" s="6"/>
      <c r="B452" s="588" t="s">
        <v>61</v>
      </c>
      <c r="C452" s="589"/>
      <c r="D452" s="589"/>
      <c r="E452" s="589"/>
      <c r="F452" s="590"/>
      <c r="G452" s="599">
        <f>H387+H299+H283+H247+H228+H186+H174+H159+H65+H54+H43+H20+H117</f>
        <v>43939</v>
      </c>
      <c r="H452" s="600"/>
      <c r="I452" s="107" t="s">
        <v>269</v>
      </c>
      <c r="J452" s="90"/>
      <c r="W452"/>
      <c r="X452"/>
      <c r="Y452"/>
      <c r="Z452"/>
    </row>
    <row r="453" spans="1:26" ht="6.75" customHeight="1" thickBot="1">
      <c r="A453" s="6"/>
      <c r="B453" s="7"/>
      <c r="C453" s="7"/>
      <c r="D453" s="7"/>
      <c r="E453" s="7"/>
      <c r="F453" s="260"/>
      <c r="G453" s="7"/>
      <c r="H453" s="8"/>
      <c r="W453"/>
      <c r="X453"/>
      <c r="Y453"/>
      <c r="Z453"/>
    </row>
    <row r="454" spans="1:26" ht="14.4" thickBot="1">
      <c r="A454" s="6"/>
      <c r="B454" s="7"/>
      <c r="C454" s="7"/>
      <c r="D454" s="420" t="s">
        <v>310</v>
      </c>
      <c r="E454" s="591"/>
      <c r="F454" s="592"/>
      <c r="G454" s="134" t="s">
        <v>311</v>
      </c>
      <c r="H454" s="135" t="e">
        <f>G452/E454-1</f>
        <v>#DIV/0!</v>
      </c>
      <c r="W454"/>
      <c r="X454"/>
      <c r="Y454"/>
      <c r="Z454"/>
    </row>
    <row r="455" spans="1:26" ht="14.4" thickBot="1">
      <c r="A455" s="6"/>
      <c r="B455" s="91" t="s">
        <v>391</v>
      </c>
      <c r="C455" s="7"/>
      <c r="D455" s="7"/>
      <c r="E455" s="7"/>
      <c r="F455" s="260"/>
      <c r="G455" s="7"/>
      <c r="H455" s="8"/>
      <c r="W455"/>
      <c r="X455"/>
      <c r="Y455"/>
      <c r="Z455"/>
    </row>
    <row r="456" spans="1:26" ht="26.25" customHeight="1">
      <c r="A456" s="6"/>
      <c r="B456" s="92"/>
      <c r="C456" s="582" t="s">
        <v>258</v>
      </c>
      <c r="D456" s="93" t="s">
        <v>99</v>
      </c>
      <c r="E456" s="94"/>
      <c r="F456" s="401" t="s">
        <v>83</v>
      </c>
      <c r="G456" s="7"/>
      <c r="H456" s="8"/>
      <c r="I456" s="107"/>
      <c r="W456"/>
      <c r="X456"/>
      <c r="Y456"/>
      <c r="Z456"/>
    </row>
    <row r="457" spans="1:26" ht="15" customHeight="1">
      <c r="A457" s="6"/>
      <c r="B457" s="95" t="s">
        <v>72</v>
      </c>
      <c r="C457" s="87" t="s">
        <v>93</v>
      </c>
      <c r="D457" s="61">
        <f>IF(E457=1,G452/H17,0)</f>
        <v>0</v>
      </c>
      <c r="E457" s="367"/>
      <c r="F457" s="281"/>
      <c r="G457" s="7"/>
      <c r="H457" s="96" t="s">
        <v>85</v>
      </c>
      <c r="W457"/>
      <c r="X457"/>
      <c r="Y457"/>
      <c r="Z457"/>
    </row>
    <row r="458" spans="1:26" ht="15" customHeight="1">
      <c r="A458" s="6"/>
      <c r="B458" s="95" t="s">
        <v>277</v>
      </c>
      <c r="C458" s="87" t="s">
        <v>278</v>
      </c>
      <c r="D458" s="61">
        <f>IF(E458=1,G452/H17,0)</f>
        <v>0</v>
      </c>
      <c r="E458" s="367"/>
      <c r="F458" s="281"/>
      <c r="G458" s="7"/>
      <c r="H458" s="96" t="s">
        <v>86</v>
      </c>
      <c r="W458"/>
      <c r="X458"/>
      <c r="Y458"/>
      <c r="Z458"/>
    </row>
    <row r="459" spans="1:26" ht="15" customHeight="1">
      <c r="A459" s="6"/>
      <c r="B459" s="95" t="s">
        <v>73</v>
      </c>
      <c r="C459" s="87" t="s">
        <v>94</v>
      </c>
      <c r="D459" s="61">
        <f>IF(E459=1,G452/H17,0)</f>
        <v>0</v>
      </c>
      <c r="E459" s="367"/>
      <c r="F459" s="281"/>
      <c r="G459" s="7"/>
      <c r="H459" s="97"/>
      <c r="W459"/>
      <c r="X459"/>
      <c r="Y459"/>
      <c r="Z459"/>
    </row>
    <row r="460" spans="1:26" ht="15" customHeight="1">
      <c r="A460" s="6"/>
      <c r="B460" s="95" t="s">
        <v>279</v>
      </c>
      <c r="C460" s="87" t="s">
        <v>97</v>
      </c>
      <c r="D460" s="61">
        <f>IF(E460=1,G452/H17,0)</f>
        <v>0</v>
      </c>
      <c r="E460" s="367"/>
      <c r="F460" s="401" t="s">
        <v>84</v>
      </c>
      <c r="G460" s="7"/>
      <c r="H460" s="97"/>
      <c r="W460"/>
      <c r="X460"/>
      <c r="Y460"/>
      <c r="Z460"/>
    </row>
    <row r="461" spans="1:26" ht="15" customHeight="1">
      <c r="A461" s="6"/>
      <c r="B461" s="95" t="s">
        <v>78</v>
      </c>
      <c r="C461" s="87" t="s">
        <v>91</v>
      </c>
      <c r="D461" s="61">
        <f>IF(E461=1,G452/H17,0)</f>
        <v>0</v>
      </c>
      <c r="E461" s="367"/>
      <c r="F461" s="260"/>
      <c r="G461" s="7"/>
      <c r="H461" s="96" t="s">
        <v>88</v>
      </c>
      <c r="W461"/>
      <c r="X461"/>
      <c r="Y461"/>
      <c r="Z461"/>
    </row>
    <row r="462" spans="1:26" ht="15" customHeight="1">
      <c r="A462" s="6"/>
      <c r="B462" s="95" t="s">
        <v>79</v>
      </c>
      <c r="C462" s="87" t="s">
        <v>92</v>
      </c>
      <c r="D462" s="61">
        <f>IF(E462=1,G452/H17,0)</f>
        <v>0</v>
      </c>
      <c r="E462" s="367"/>
      <c r="F462" s="401" t="s">
        <v>89</v>
      </c>
      <c r="G462" s="7"/>
      <c r="H462" s="97"/>
      <c r="W462"/>
      <c r="X462"/>
      <c r="Y462"/>
      <c r="Z462"/>
    </row>
    <row r="463" spans="1:26" ht="15" customHeight="1">
      <c r="A463" s="6"/>
      <c r="B463" s="95" t="s">
        <v>74</v>
      </c>
      <c r="C463" s="87" t="s">
        <v>95</v>
      </c>
      <c r="D463" s="61">
        <f>IF(E463=1,G452/H17,0)</f>
        <v>0</v>
      </c>
      <c r="E463" s="367"/>
      <c r="F463" s="260"/>
      <c r="G463" s="7"/>
      <c r="H463" s="96" t="s">
        <v>90</v>
      </c>
      <c r="W463"/>
      <c r="X463"/>
      <c r="Y463"/>
      <c r="Z463"/>
    </row>
    <row r="464" spans="1:26" ht="15" customHeight="1">
      <c r="A464" s="6"/>
      <c r="B464" s="95" t="s">
        <v>77</v>
      </c>
      <c r="C464" s="87" t="s">
        <v>96</v>
      </c>
      <c r="D464" s="61">
        <f>IF(E464=1,G452/H17,0)</f>
        <v>0</v>
      </c>
      <c r="E464" s="367"/>
      <c r="F464" s="260"/>
      <c r="G464" s="7"/>
      <c r="H464" s="97"/>
      <c r="W464"/>
      <c r="X464"/>
      <c r="Y464"/>
      <c r="Z464"/>
    </row>
    <row r="465" spans="1:26" ht="15" customHeight="1">
      <c r="A465" s="6"/>
      <c r="B465" s="95" t="s">
        <v>280</v>
      </c>
      <c r="C465" s="87" t="s">
        <v>97</v>
      </c>
      <c r="D465" s="61">
        <f>IF(E465=1,G452/H17,0)</f>
        <v>0</v>
      </c>
      <c r="E465" s="367"/>
      <c r="F465" s="401" t="s">
        <v>79</v>
      </c>
      <c r="G465" s="7"/>
      <c r="H465" s="97"/>
      <c r="W465"/>
      <c r="X465"/>
      <c r="Y465"/>
      <c r="Z465"/>
    </row>
    <row r="466" spans="1:26" ht="15" customHeight="1">
      <c r="A466" s="6"/>
      <c r="B466" s="95" t="s">
        <v>281</v>
      </c>
      <c r="C466" s="87" t="s">
        <v>98</v>
      </c>
      <c r="D466" s="61">
        <f>IF(E466=1,G452/H17,0)</f>
        <v>0</v>
      </c>
      <c r="E466" s="367"/>
      <c r="F466" s="260"/>
      <c r="G466" s="7"/>
      <c r="H466" s="96" t="s">
        <v>85</v>
      </c>
      <c r="W466"/>
      <c r="X466"/>
      <c r="Y466"/>
      <c r="Z466"/>
    </row>
    <row r="467" spans="1:26" ht="15" customHeight="1">
      <c r="A467" s="6"/>
      <c r="B467" s="95" t="s">
        <v>75</v>
      </c>
      <c r="C467" s="87" t="s">
        <v>97</v>
      </c>
      <c r="D467" s="61">
        <f>IF(E467=1,G452/H17,0)</f>
        <v>0</v>
      </c>
      <c r="E467" s="367"/>
      <c r="F467" s="260"/>
      <c r="G467" s="7"/>
      <c r="H467" s="96" t="s">
        <v>86</v>
      </c>
      <c r="W467"/>
      <c r="X467"/>
      <c r="Y467"/>
      <c r="Z467"/>
    </row>
    <row r="468" spans="1:26" ht="15" customHeight="1">
      <c r="A468" s="6"/>
      <c r="B468" s="95" t="s">
        <v>282</v>
      </c>
      <c r="C468" s="87" t="s">
        <v>96</v>
      </c>
      <c r="D468" s="61">
        <f>IF(E468=1,G452/H17,0)</f>
        <v>0</v>
      </c>
      <c r="E468" s="367"/>
      <c r="F468" s="260"/>
      <c r="G468" s="7"/>
      <c r="H468" s="97"/>
      <c r="W468"/>
      <c r="X468"/>
      <c r="Y468"/>
      <c r="Z468"/>
    </row>
    <row r="469" spans="1:26" ht="15" customHeight="1">
      <c r="A469" s="6"/>
      <c r="B469" s="95" t="s">
        <v>76</v>
      </c>
      <c r="C469" s="87" t="s">
        <v>98</v>
      </c>
      <c r="D469" s="61">
        <f>IF(E469=1,G452/H17,0)</f>
        <v>0</v>
      </c>
      <c r="E469" s="367"/>
    </row>
    <row r="470" spans="1:26" ht="15" customHeight="1">
      <c r="A470" s="6"/>
      <c r="B470" s="95" t="s">
        <v>259</v>
      </c>
      <c r="C470" s="87" t="s">
        <v>98</v>
      </c>
      <c r="D470" s="61">
        <f>IF(E470=1,G452/H17,0)</f>
        <v>0</v>
      </c>
      <c r="E470" s="367"/>
    </row>
    <row r="471" spans="1:26" ht="15" customHeight="1">
      <c r="A471" s="6"/>
      <c r="B471" s="95" t="s">
        <v>80</v>
      </c>
      <c r="C471" s="87" t="s">
        <v>97</v>
      </c>
      <c r="D471" s="61">
        <f>IF(E471=1,G452/H17,0)</f>
        <v>0</v>
      </c>
      <c r="E471" s="367"/>
    </row>
    <row r="472" spans="1:26" ht="15" customHeight="1">
      <c r="A472" s="6"/>
      <c r="B472" s="95" t="s">
        <v>81</v>
      </c>
      <c r="C472" s="87" t="s">
        <v>95</v>
      </c>
      <c r="D472" s="61">
        <f>IF(E472=1,G452/H17,0)</f>
        <v>0</v>
      </c>
      <c r="E472" s="367"/>
    </row>
    <row r="473" spans="1:26" ht="15" customHeight="1">
      <c r="A473" s="6"/>
      <c r="B473" s="95" t="s">
        <v>82</v>
      </c>
      <c r="C473" s="87" t="s">
        <v>93</v>
      </c>
      <c r="D473" s="189">
        <f>IF(E473=1,G452/H17,0)</f>
        <v>0</v>
      </c>
      <c r="E473" s="367"/>
    </row>
    <row r="474" spans="1:26" ht="15" customHeight="1">
      <c r="A474" s="6"/>
      <c r="B474" s="95" t="s">
        <v>283</v>
      </c>
      <c r="C474" s="87" t="s">
        <v>284</v>
      </c>
      <c r="D474" s="189">
        <f>IF(E474=1,G452/H17,0)</f>
        <v>0</v>
      </c>
      <c r="E474" s="367"/>
    </row>
    <row r="475" spans="1:26" ht="15" customHeight="1">
      <c r="A475" s="6"/>
      <c r="B475" s="95" t="s">
        <v>285</v>
      </c>
      <c r="C475" s="87" t="s">
        <v>286</v>
      </c>
      <c r="D475" s="61">
        <f>IF(E475=1,G452/H17,0)</f>
        <v>0</v>
      </c>
      <c r="E475" s="367"/>
      <c r="F475" s="260"/>
      <c r="G475" s="7"/>
      <c r="H475" s="7"/>
    </row>
    <row r="476" spans="1:26" ht="14.4" thickBot="1">
      <c r="A476" s="6"/>
      <c r="B476" s="7"/>
      <c r="C476" s="7"/>
      <c r="D476" s="7"/>
      <c r="E476" s="7"/>
      <c r="F476" s="260"/>
      <c r="G476" s="7"/>
      <c r="H476" s="155" t="s">
        <v>100</v>
      </c>
    </row>
    <row r="477" spans="1:26" ht="18.600000000000001" thickBot="1">
      <c r="A477" s="6"/>
      <c r="B477" s="335" t="s">
        <v>267</v>
      </c>
      <c r="C477" s="528"/>
      <c r="D477" s="336"/>
      <c r="E477" s="528"/>
      <c r="F477" s="336"/>
      <c r="G477" s="528"/>
      <c r="H477" s="156">
        <f>SUM(F478:F494)</f>
        <v>0</v>
      </c>
    </row>
    <row r="478" spans="1:26" ht="6.75" customHeight="1">
      <c r="A478" s="6"/>
      <c r="B478" s="7"/>
      <c r="C478" s="7"/>
      <c r="D478" s="7"/>
      <c r="E478" s="7"/>
      <c r="F478" s="260"/>
      <c r="G478" s="7"/>
      <c r="H478" s="8"/>
    </row>
    <row r="479" spans="1:26">
      <c r="A479" s="6"/>
      <c r="B479" s="7" t="s">
        <v>260</v>
      </c>
      <c r="C479" s="7"/>
      <c r="D479" s="7"/>
      <c r="E479" s="7"/>
      <c r="F479" s="260"/>
      <c r="G479" s="7"/>
      <c r="H479" s="7"/>
    </row>
    <row r="480" spans="1:26" ht="6.75" customHeight="1" thickBot="1">
      <c r="A480" s="6"/>
      <c r="B480" s="7"/>
      <c r="C480" s="7"/>
      <c r="D480" s="7"/>
      <c r="E480" s="7"/>
      <c r="F480" s="260"/>
      <c r="G480" s="7"/>
      <c r="H480" s="7"/>
    </row>
    <row r="481" spans="1:24" ht="15" customHeight="1" thickBot="1">
      <c r="A481" s="367"/>
      <c r="B481" s="98" t="s">
        <v>545</v>
      </c>
      <c r="C481" s="583">
        <v>0.09</v>
      </c>
      <c r="D481" s="99"/>
      <c r="E481" s="100"/>
      <c r="F481" s="419">
        <f>IF(A481=1,(G452*C481),IF(A481=0,0))</f>
        <v>0</v>
      </c>
      <c r="G481" s="7"/>
      <c r="H481" s="7"/>
    </row>
    <row r="482" spans="1:24" ht="6.75" customHeight="1" thickBot="1">
      <c r="A482" s="6"/>
      <c r="B482" s="7"/>
      <c r="C482" s="560"/>
      <c r="D482" s="99"/>
      <c r="E482" s="7"/>
      <c r="F482" s="256"/>
      <c r="G482" s="7"/>
      <c r="H482" s="7"/>
    </row>
    <row r="483" spans="1:24" ht="15" customHeight="1" thickBot="1">
      <c r="A483" s="367"/>
      <c r="B483" s="98" t="s">
        <v>137</v>
      </c>
      <c r="C483" s="583">
        <v>0.03</v>
      </c>
      <c r="D483" s="101" t="s">
        <v>261</v>
      </c>
      <c r="E483" s="102"/>
      <c r="F483" s="419">
        <f>IF(A483=1,(H65*C483),IF(A483=0,0))</f>
        <v>0</v>
      </c>
      <c r="G483" s="7"/>
      <c r="H483" s="7"/>
    </row>
    <row r="484" spans="1:24" ht="6.75" customHeight="1" thickBot="1">
      <c r="A484" s="6"/>
      <c r="B484" s="98"/>
      <c r="C484" s="560"/>
      <c r="D484" s="99"/>
      <c r="E484" s="7"/>
      <c r="F484" s="256"/>
      <c r="G484" s="7"/>
      <c r="H484" s="7"/>
    </row>
    <row r="485" spans="1:24" ht="15" customHeight="1" thickBot="1">
      <c r="A485" s="367"/>
      <c r="B485" s="98" t="s">
        <v>546</v>
      </c>
      <c r="C485" s="583">
        <v>1.4999999999999999E-2</v>
      </c>
      <c r="D485" s="99"/>
      <c r="E485" s="102"/>
      <c r="F485" s="419">
        <f>IF(A485=1,(G452*C485),IF(A485=0,0))</f>
        <v>0</v>
      </c>
      <c r="G485" s="7"/>
      <c r="H485" s="7"/>
    </row>
    <row r="486" spans="1:24" ht="6.75" customHeight="1" thickBot="1">
      <c r="A486" s="6"/>
      <c r="B486" s="98"/>
      <c r="C486" s="560"/>
      <c r="D486" s="99"/>
      <c r="E486" s="7"/>
      <c r="F486" s="256"/>
      <c r="G486" s="7"/>
      <c r="H486" s="7"/>
    </row>
    <row r="487" spans="1:24" ht="15" customHeight="1" thickBot="1">
      <c r="A487" s="367"/>
      <c r="B487" s="98" t="s">
        <v>410</v>
      </c>
      <c r="C487" s="583">
        <v>8.0000000000000002E-3</v>
      </c>
      <c r="D487" s="195"/>
      <c r="E487" s="102"/>
      <c r="F487" s="419">
        <f>IF(A487=1,(G452*C487),IF(A487=0,0))</f>
        <v>0</v>
      </c>
      <c r="G487" s="7"/>
      <c r="H487" s="7"/>
    </row>
    <row r="488" spans="1:24" ht="6.75" customHeight="1" thickBot="1">
      <c r="A488" s="6"/>
      <c r="B488" s="98"/>
      <c r="C488" s="560"/>
      <c r="D488" s="99"/>
      <c r="E488" s="7"/>
      <c r="F488" s="256"/>
      <c r="G488" s="7"/>
      <c r="H488" s="7"/>
    </row>
    <row r="489" spans="1:24" ht="15" customHeight="1" thickBot="1">
      <c r="A489" s="367"/>
      <c r="B489" s="98" t="s">
        <v>142</v>
      </c>
      <c r="C489" s="583">
        <v>6.0000000000000001E-3</v>
      </c>
      <c r="D489" s="99"/>
      <c r="E489" s="102"/>
      <c r="F489" s="419">
        <f>IF(A489=1,(G452*C489),IF(A489=0,0))</f>
        <v>0</v>
      </c>
      <c r="G489" s="7"/>
      <c r="H489" s="7"/>
    </row>
    <row r="490" spans="1:24" ht="6.75" customHeight="1" thickBot="1">
      <c r="A490" s="6"/>
      <c r="B490" s="98"/>
      <c r="C490" s="560"/>
      <c r="D490" s="99"/>
      <c r="E490" s="7"/>
      <c r="F490" s="256"/>
      <c r="G490" s="7"/>
      <c r="H490" s="7"/>
    </row>
    <row r="491" spans="1:24" ht="15" customHeight="1" thickBot="1">
      <c r="A491" s="367"/>
      <c r="B491" s="98" t="s">
        <v>143</v>
      </c>
      <c r="C491" s="583">
        <v>0.04</v>
      </c>
      <c r="D491" s="101" t="s">
        <v>262</v>
      </c>
      <c r="E491" s="102"/>
      <c r="F491" s="419">
        <f>IF(A491=1,((H387+H299+H283)*C491),IF(A491=0,0))</f>
        <v>0</v>
      </c>
      <c r="G491" s="7"/>
      <c r="H491" s="7"/>
    </row>
    <row r="492" spans="1:24" ht="6.75" customHeight="1" thickBot="1">
      <c r="A492" s="6"/>
      <c r="B492" s="7"/>
      <c r="C492" s="7"/>
      <c r="D492" s="7"/>
      <c r="E492" s="7"/>
      <c r="F492" s="256"/>
      <c r="G492" s="7"/>
      <c r="H492" s="7"/>
    </row>
    <row r="493" spans="1:24" ht="15" customHeight="1" thickBot="1">
      <c r="A493" s="367"/>
      <c r="B493" s="98" t="s">
        <v>141</v>
      </c>
      <c r="C493" s="583">
        <v>1.4999999999999999E-2</v>
      </c>
      <c r="D493" s="105"/>
      <c r="E493" s="102"/>
      <c r="F493" s="419">
        <f>IF(A493=1,(G452*C493),IF(A493=0,0))</f>
        <v>0</v>
      </c>
      <c r="G493" s="7"/>
      <c r="H493" s="7"/>
      <c r="X493" s="106"/>
    </row>
    <row r="494" spans="1:24" ht="15" customHeight="1" thickBot="1">
      <c r="A494" s="7"/>
      <c r="B494" s="98"/>
      <c r="C494" s="584"/>
      <c r="D494" s="105"/>
      <c r="E494" s="7"/>
      <c r="F494" s="256"/>
      <c r="G494" s="7"/>
      <c r="H494" s="7"/>
      <c r="X494" s="106"/>
    </row>
    <row r="495" spans="1:24" ht="22.5" customHeight="1" thickBot="1">
      <c r="A495" s="6"/>
      <c r="B495" s="118" t="s">
        <v>268</v>
      </c>
      <c r="C495" s="119"/>
      <c r="D495" s="119"/>
      <c r="E495" s="119"/>
      <c r="F495" s="283"/>
      <c r="G495" s="553"/>
      <c r="H495" s="191">
        <f>SUM(F496:F519)</f>
        <v>0</v>
      </c>
    </row>
    <row r="496" spans="1:24" ht="15" customHeight="1" thickBot="1">
      <c r="A496" s="367"/>
      <c r="B496" s="104" t="s">
        <v>140</v>
      </c>
      <c r="C496" s="583">
        <v>0.01</v>
      </c>
      <c r="D496" s="105"/>
      <c r="E496" s="102"/>
      <c r="F496" s="419">
        <f>IF(A496=1,(G452*C496),IF(A496=0,0))</f>
        <v>0</v>
      </c>
      <c r="G496" s="7"/>
      <c r="H496" s="7"/>
      <c r="W496" s="207">
        <f>SUM(Q481:T496)</f>
        <v>0</v>
      </c>
      <c r="X496" s="106"/>
    </row>
    <row r="497" spans="1:24" ht="6.75" customHeight="1" thickBot="1">
      <c r="A497" s="6"/>
      <c r="B497" s="104"/>
      <c r="C497" s="7"/>
      <c r="D497" s="7"/>
      <c r="E497" s="7"/>
      <c r="F497" s="256"/>
      <c r="G497" s="7"/>
      <c r="H497" s="7"/>
    </row>
    <row r="498" spans="1:24" ht="15" customHeight="1" thickBot="1">
      <c r="A498" s="367"/>
      <c r="B498" s="104" t="s">
        <v>139</v>
      </c>
      <c r="C498" s="583">
        <v>1.2E-2</v>
      </c>
      <c r="D498" s="105"/>
      <c r="E498" s="102"/>
      <c r="F498" s="419">
        <f>IF(A498=1,(G452*C498),IF(A498=0,0))</f>
        <v>0</v>
      </c>
      <c r="G498" s="7"/>
      <c r="H498" s="7"/>
    </row>
    <row r="499" spans="1:24" ht="6.75" customHeight="1" thickBot="1">
      <c r="A499" s="6"/>
      <c r="B499" s="104"/>
      <c r="C499" s="7"/>
      <c r="D499" s="7"/>
      <c r="E499" s="7"/>
      <c r="F499" s="256"/>
      <c r="G499" s="7"/>
      <c r="H499" s="7"/>
    </row>
    <row r="500" spans="1:24" ht="15" customHeight="1" thickBot="1">
      <c r="A500" s="10">
        <v>0</v>
      </c>
      <c r="B500" s="104" t="s">
        <v>138</v>
      </c>
      <c r="C500" s="583" t="s">
        <v>263</v>
      </c>
      <c r="D500" s="101" t="s">
        <v>264</v>
      </c>
      <c r="E500" s="102"/>
      <c r="F500" s="257"/>
      <c r="G500" s="7"/>
      <c r="H500" s="7"/>
      <c r="X500" s="106"/>
    </row>
    <row r="501" spans="1:24" ht="13.5" customHeight="1">
      <c r="A501" s="6"/>
      <c r="B501" s="104"/>
      <c r="C501" s="7"/>
      <c r="D501" s="7"/>
      <c r="E501" s="7"/>
      <c r="F501" s="256"/>
      <c r="G501" s="7"/>
      <c r="H501" s="8"/>
      <c r="W501" s="208">
        <f>SUM(Q500:T501)</f>
        <v>0</v>
      </c>
    </row>
    <row r="502" spans="1:24" ht="13.5" customHeight="1" thickBot="1">
      <c r="A502" s="6"/>
      <c r="B502" s="104"/>
      <c r="C502" s="7"/>
      <c r="D502" s="7"/>
      <c r="E502" s="7"/>
      <c r="F502" s="256"/>
      <c r="G502" s="7"/>
      <c r="H502" s="8"/>
    </row>
    <row r="503" spans="1:24" ht="14.4" thickBot="1">
      <c r="A503" s="367"/>
      <c r="B503" s="7" t="s">
        <v>144</v>
      </c>
      <c r="C503" s="585" t="s">
        <v>110</v>
      </c>
      <c r="D503" s="108"/>
      <c r="E503" s="154"/>
      <c r="F503" s="418">
        <f>D503*E503</f>
        <v>0</v>
      </c>
      <c r="G503" s="537"/>
      <c r="H503" s="109"/>
    </row>
    <row r="504" spans="1:24" ht="6.75" customHeight="1" thickBot="1">
      <c r="A504" s="6"/>
      <c r="B504" s="7"/>
      <c r="C504" s="7"/>
      <c r="D504" s="7"/>
      <c r="E504" s="7"/>
      <c r="F504" s="258"/>
      <c r="G504" s="7"/>
      <c r="H504" s="8"/>
    </row>
    <row r="505" spans="1:24" ht="14.4" thickBot="1">
      <c r="A505" s="110">
        <f>IF(A503=1,1,0)</f>
        <v>0</v>
      </c>
      <c r="B505" s="7" t="s">
        <v>265</v>
      </c>
      <c r="C505" s="583">
        <v>0.08</v>
      </c>
      <c r="D505" s="105"/>
      <c r="E505" s="7"/>
      <c r="F505" s="418">
        <f>IF(A505=1,(C505*F503),0)</f>
        <v>0</v>
      </c>
      <c r="G505" s="537"/>
      <c r="H505" s="109"/>
    </row>
    <row r="506" spans="1:24" ht="6.75" customHeight="1" thickBot="1">
      <c r="A506" s="6"/>
      <c r="B506" s="7"/>
      <c r="C506" s="7"/>
      <c r="D506" s="7"/>
      <c r="E506" s="7"/>
      <c r="F506" s="258"/>
      <c r="G506" s="7"/>
      <c r="H506" s="8"/>
    </row>
    <row r="507" spans="1:24" ht="16.2" thickBot="1">
      <c r="A507" s="367"/>
      <c r="B507" s="7" t="s">
        <v>266</v>
      </c>
      <c r="C507" s="583">
        <v>0</v>
      </c>
      <c r="D507" s="111">
        <v>0</v>
      </c>
      <c r="E507" s="7"/>
      <c r="F507" s="418">
        <f>D507</f>
        <v>0</v>
      </c>
      <c r="G507" s="537"/>
      <c r="H507" s="109"/>
      <c r="J507" s="112" t="s">
        <v>270</v>
      </c>
      <c r="K507" s="113"/>
      <c r="L507" s="114"/>
      <c r="M507" s="130"/>
      <c r="N507" s="7"/>
      <c r="O507" s="131"/>
      <c r="P507" s="131"/>
    </row>
    <row r="508" spans="1:24" ht="6.75" customHeight="1" thickBot="1">
      <c r="A508" s="6"/>
      <c r="B508" s="7"/>
      <c r="C508" s="7"/>
      <c r="D508" s="7"/>
      <c r="E508" s="7"/>
      <c r="F508" s="258"/>
      <c r="G508" s="7"/>
      <c r="H508" s="8"/>
      <c r="M508" s="59"/>
      <c r="N508" s="7"/>
      <c r="O508" s="131"/>
      <c r="P508" s="7"/>
    </row>
    <row r="509" spans="1:24" ht="14.4" thickBot="1">
      <c r="A509" s="367"/>
      <c r="B509" s="7" t="s">
        <v>416</v>
      </c>
      <c r="C509" s="586"/>
      <c r="D509" s="190"/>
      <c r="E509" s="7"/>
      <c r="F509" s="418">
        <f>IF(A509=1,356*H17*5.9%,0)</f>
        <v>0</v>
      </c>
      <c r="G509" s="537"/>
      <c r="H509" s="109"/>
      <c r="J509" s="107" t="s">
        <v>271</v>
      </c>
      <c r="L509" s="115">
        <f>+G452</f>
        <v>43939</v>
      </c>
      <c r="M509" s="130"/>
      <c r="N509" s="7"/>
      <c r="O509" s="84"/>
      <c r="P509" s="131"/>
    </row>
    <row r="510" spans="1:24" ht="6.75" customHeight="1" thickBot="1">
      <c r="A510" s="6"/>
      <c r="B510" s="7"/>
      <c r="C510" s="7"/>
      <c r="D510" s="7"/>
      <c r="E510" s="7"/>
      <c r="F510" s="258"/>
      <c r="G510" s="7"/>
      <c r="H510" s="8"/>
      <c r="L510" s="116"/>
      <c r="M510" s="59"/>
      <c r="N510" s="7"/>
      <c r="O510" s="85"/>
      <c r="P510" s="7"/>
    </row>
    <row r="511" spans="1:24" ht="14.4" thickBot="1">
      <c r="A511" s="10">
        <v>0</v>
      </c>
      <c r="B511" s="7" t="s">
        <v>145</v>
      </c>
      <c r="C511" s="105"/>
      <c r="D511" s="105"/>
      <c r="E511" s="7"/>
      <c r="F511" s="259"/>
      <c r="G511" s="537"/>
      <c r="H511" s="109"/>
      <c r="J511" s="107" t="s">
        <v>260</v>
      </c>
      <c r="L511" s="115">
        <f>+H477</f>
        <v>0</v>
      </c>
      <c r="M511" s="130"/>
      <c r="N511" s="7"/>
      <c r="O511" s="85"/>
      <c r="P511" s="131"/>
    </row>
    <row r="512" spans="1:24" ht="6.75" customHeight="1" thickBot="1">
      <c r="A512" s="6"/>
      <c r="B512" s="7"/>
      <c r="C512" s="7"/>
      <c r="D512" s="7"/>
      <c r="E512" s="7"/>
      <c r="F512" s="258"/>
      <c r="G512" s="7"/>
      <c r="H512" s="8"/>
      <c r="L512" s="116"/>
      <c r="M512" s="130"/>
      <c r="N512" s="7"/>
      <c r="O512" s="84"/>
      <c r="P512" s="7"/>
    </row>
    <row r="513" spans="1:16" ht="14.4" thickBot="1">
      <c r="A513" s="10">
        <v>0</v>
      </c>
      <c r="B513" s="7" t="s">
        <v>146</v>
      </c>
      <c r="C513" s="105"/>
      <c r="D513" s="105"/>
      <c r="E513" s="7"/>
      <c r="F513" s="259"/>
      <c r="G513" s="537"/>
      <c r="H513" s="109"/>
      <c r="J513" s="107" t="s">
        <v>272</v>
      </c>
      <c r="L513" s="115">
        <f>+H495</f>
        <v>0</v>
      </c>
      <c r="M513" s="59"/>
      <c r="N513" s="7"/>
      <c r="O513" s="85"/>
      <c r="P513" s="131"/>
    </row>
    <row r="514" spans="1:16" ht="6.75" customHeight="1" thickBot="1">
      <c r="A514" s="6"/>
      <c r="B514" s="7"/>
      <c r="C514" s="7"/>
      <c r="D514" s="7"/>
      <c r="E514" s="7"/>
      <c r="F514" s="258"/>
      <c r="G514" s="7"/>
      <c r="H514" s="8"/>
      <c r="J514" s="117"/>
      <c r="L514" s="116"/>
      <c r="M514" s="59"/>
      <c r="N514" s="7"/>
      <c r="O514" s="85"/>
      <c r="P514" s="7"/>
    </row>
    <row r="515" spans="1:16" ht="14.4" thickBot="1">
      <c r="A515" s="10">
        <v>0</v>
      </c>
      <c r="B515" s="7" t="s">
        <v>147</v>
      </c>
      <c r="C515" s="105"/>
      <c r="D515" s="105"/>
      <c r="E515" s="7"/>
      <c r="F515" s="259"/>
      <c r="G515" s="537"/>
      <c r="H515" s="109"/>
      <c r="K515" s="107" t="s">
        <v>273</v>
      </c>
      <c r="L515" s="116">
        <f>SUM(L509:L513)</f>
        <v>43939</v>
      </c>
      <c r="M515" s="7"/>
      <c r="N515" s="7"/>
      <c r="O515" s="7"/>
      <c r="P515" s="7"/>
    </row>
    <row r="516" spans="1:16" ht="6.75" customHeight="1" thickBot="1">
      <c r="A516" s="6"/>
      <c r="B516" s="7"/>
      <c r="C516" s="7"/>
      <c r="D516" s="7"/>
      <c r="E516" s="7"/>
      <c r="F516" s="258"/>
      <c r="G516" s="7"/>
      <c r="H516" s="8"/>
      <c r="K516" s="107"/>
      <c r="L516" s="107"/>
      <c r="M516" s="7"/>
      <c r="N516" s="7"/>
      <c r="O516" s="7"/>
      <c r="P516" s="7"/>
    </row>
    <row r="517" spans="1:16" ht="14.4" thickBot="1">
      <c r="A517" s="10">
        <v>0</v>
      </c>
      <c r="B517" s="7" t="s">
        <v>148</v>
      </c>
      <c r="C517" s="105"/>
      <c r="D517" s="105"/>
      <c r="E517" s="7"/>
      <c r="F517" s="259"/>
      <c r="G517" s="537"/>
      <c r="H517" s="109"/>
      <c r="J517" s="103" t="s">
        <v>62</v>
      </c>
      <c r="K517" s="132">
        <v>0.2</v>
      </c>
      <c r="L517" s="116">
        <f>+L515*K517</f>
        <v>8787.8000000000011</v>
      </c>
    </row>
    <row r="518" spans="1:16" ht="6.75" customHeight="1" thickBot="1">
      <c r="A518" s="6"/>
      <c r="B518" s="7"/>
      <c r="C518" s="7"/>
      <c r="D518" s="7"/>
      <c r="E518" s="7"/>
      <c r="F518" s="258"/>
      <c r="G518" s="7"/>
      <c r="H518" s="8"/>
      <c r="K518" s="107"/>
      <c r="L518" s="107"/>
    </row>
    <row r="519" spans="1:16" ht="14.4" thickBot="1">
      <c r="A519" s="10">
        <v>0</v>
      </c>
      <c r="B519" s="7" t="s">
        <v>415</v>
      </c>
      <c r="C519" s="105"/>
      <c r="D519" s="105"/>
      <c r="E519" s="7"/>
      <c r="F519" s="259"/>
      <c r="G519" s="537"/>
      <c r="H519" s="109"/>
      <c r="K519" s="107" t="s">
        <v>274</v>
      </c>
      <c r="L519" s="116">
        <f>+L515+L517</f>
        <v>52726.8</v>
      </c>
    </row>
    <row r="520" spans="1:16">
      <c r="B520" s="7"/>
    </row>
    <row r="521" spans="1:16">
      <c r="B521" s="7"/>
    </row>
    <row r="522" spans="1:16">
      <c r="B522" s="7"/>
      <c r="F522" s="284"/>
    </row>
    <row r="523" spans="1:16">
      <c r="B523" s="7"/>
    </row>
    <row r="524" spans="1:16">
      <c r="B524" s="7"/>
    </row>
    <row r="525" spans="1:16">
      <c r="B525" s="7"/>
    </row>
  </sheetData>
  <mergeCells count="55">
    <mergeCell ref="I21:V21"/>
    <mergeCell ref="P28:V28"/>
    <mergeCell ref="S29:S33"/>
    <mergeCell ref="T29:T33"/>
    <mergeCell ref="U29:U33"/>
    <mergeCell ref="V29:V33"/>
    <mergeCell ref="J31:L31"/>
    <mergeCell ref="J29:L29"/>
    <mergeCell ref="J33:L33"/>
    <mergeCell ref="A2:V2"/>
    <mergeCell ref="C4:E4"/>
    <mergeCell ref="C5:E5"/>
    <mergeCell ref="B20:G20"/>
    <mergeCell ref="I20:V20"/>
    <mergeCell ref="C6:D6"/>
    <mergeCell ref="G6:H6"/>
    <mergeCell ref="X120:AC120"/>
    <mergeCell ref="B54:G54"/>
    <mergeCell ref="B65:G65"/>
    <mergeCell ref="I97:J97"/>
    <mergeCell ref="I446:J446"/>
    <mergeCell ref="I243:J243"/>
    <mergeCell ref="Q29:Q33"/>
    <mergeCell ref="R29:R33"/>
    <mergeCell ref="B43:G43"/>
    <mergeCell ref="J28:L28"/>
    <mergeCell ref="B117:G117"/>
    <mergeCell ref="J35:L35"/>
    <mergeCell ref="J36:L36"/>
    <mergeCell ref="P29:P33"/>
    <mergeCell ref="B140:G140"/>
    <mergeCell ref="I119:I125"/>
    <mergeCell ref="B159:G159"/>
    <mergeCell ref="B174:G174"/>
    <mergeCell ref="B186:G186"/>
    <mergeCell ref="C261:D261"/>
    <mergeCell ref="E399:G399"/>
    <mergeCell ref="I401:J409"/>
    <mergeCell ref="K401:L401"/>
    <mergeCell ref="K402:L402"/>
    <mergeCell ref="K403:L403"/>
    <mergeCell ref="K404:L404"/>
    <mergeCell ref="K405:L405"/>
    <mergeCell ref="K406:L406"/>
    <mergeCell ref="R283:T283"/>
    <mergeCell ref="R284:T284"/>
    <mergeCell ref="B452:F452"/>
    <mergeCell ref="R285:T285"/>
    <mergeCell ref="E454:F454"/>
    <mergeCell ref="K407:L407"/>
    <mergeCell ref="K408:L408"/>
    <mergeCell ref="K409:L409"/>
    <mergeCell ref="C447:D447"/>
    <mergeCell ref="C449:D449"/>
    <mergeCell ref="G452:H452"/>
  </mergeCells>
  <hyperlinks>
    <hyperlink ref="L11" r:id="rId1"/>
  </hyperlinks>
  <pageMargins left="0.25" right="0.25" top="0.75" bottom="0.75" header="0.3" footer="0.3"/>
  <pageSetup paperSize="8" firstPageNumber="0" orientation="landscape" r:id="rId2"/>
  <headerFooter alignWithMargins="0"/>
  <rowBreaks count="2" manualBreakCount="2">
    <brk id="42" max="21" man="1"/>
    <brk id="451" max="16383" man="1"/>
  </rowBreaks>
  <drawing r:id="rId3"/>
  <legacyDrawing r:id="rId4"/>
  <oleObjects>
    <oleObject progId="Paint.Picture" shapeId="15361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P22"/>
  <sheetViews>
    <sheetView topLeftCell="B1" workbookViewId="0">
      <selection activeCell="J5" sqref="J5"/>
    </sheetView>
  </sheetViews>
  <sheetFormatPr baseColWidth="10" defaultRowHeight="13.8"/>
  <cols>
    <col min="1" max="1" width="12.5546875" style="478" bestFit="1" customWidth="1"/>
    <col min="2" max="2" width="38.44140625" style="478" bestFit="1" customWidth="1"/>
    <col min="3" max="3" width="11.88671875" style="479" bestFit="1" customWidth="1"/>
    <col min="4" max="4" width="6.33203125" style="478" bestFit="1" customWidth="1"/>
    <col min="5" max="5" width="9.44140625" style="478" bestFit="1" customWidth="1"/>
    <col min="6" max="6" width="5" style="478" bestFit="1" customWidth="1"/>
    <col min="7" max="7" width="12.6640625" style="478" customWidth="1"/>
    <col min="8" max="8" width="24" style="478" bestFit="1" customWidth="1"/>
    <col min="9" max="9" width="5" style="478" bestFit="1" customWidth="1"/>
    <col min="10" max="10" width="24" style="478" bestFit="1" customWidth="1"/>
    <col min="11" max="11" width="5" style="478" bestFit="1" customWidth="1"/>
    <col min="12" max="12" width="6.33203125" style="478" bestFit="1" customWidth="1"/>
    <col min="13" max="13" width="4.5546875" style="478" bestFit="1" customWidth="1"/>
    <col min="14" max="14" width="17.88671875" style="478" bestFit="1" customWidth="1"/>
    <col min="15" max="15" width="11.44140625" style="478" customWidth="1"/>
    <col min="16" max="16" width="6.6640625" style="478" bestFit="1" customWidth="1"/>
  </cols>
  <sheetData>
    <row r="1" spans="1:16" ht="14.25" customHeight="1">
      <c r="A1" s="663" t="s">
        <v>583</v>
      </c>
      <c r="B1" s="481" t="s">
        <v>548</v>
      </c>
      <c r="C1" s="422">
        <f>+O7</f>
        <v>0</v>
      </c>
      <c r="D1" s="421" t="s">
        <v>549</v>
      </c>
      <c r="E1" s="423"/>
      <c r="F1" s="421" t="s">
        <v>110</v>
      </c>
      <c r="G1" s="492">
        <f>+C1*E1</f>
        <v>0</v>
      </c>
      <c r="H1" s="426"/>
      <c r="I1" s="426"/>
      <c r="J1" s="426"/>
      <c r="K1" s="426"/>
      <c r="L1" s="426"/>
      <c r="M1" s="426"/>
      <c r="N1" s="482"/>
      <c r="O1" s="428"/>
      <c r="P1" s="429" t="s">
        <v>550</v>
      </c>
    </row>
    <row r="2" spans="1:16" ht="15">
      <c r="A2" s="664"/>
      <c r="B2" s="483" t="s">
        <v>551</v>
      </c>
      <c r="C2" s="431"/>
      <c r="D2" s="430" t="s">
        <v>549</v>
      </c>
      <c r="E2" s="432" t="e">
        <f>C2/[1]Dépenses!$O$6</f>
        <v>#DIV/0!</v>
      </c>
      <c r="F2" s="433" t="s">
        <v>110</v>
      </c>
      <c r="G2" s="425"/>
      <c r="H2" s="426"/>
      <c r="I2" s="426"/>
      <c r="J2" s="426"/>
      <c r="K2" s="426"/>
      <c r="L2" s="426"/>
      <c r="M2" s="426"/>
      <c r="N2" s="484"/>
      <c r="O2" s="435"/>
      <c r="P2" s="436" t="s">
        <v>550</v>
      </c>
    </row>
    <row r="3" spans="1:16" ht="15">
      <c r="A3" s="664"/>
      <c r="B3" s="485" t="s">
        <v>552</v>
      </c>
      <c r="C3" s="486"/>
      <c r="D3" s="487" t="s">
        <v>549</v>
      </c>
      <c r="E3" s="488" t="e">
        <f>C3/[1]Dépenses!$O$6</f>
        <v>#DIV/0!</v>
      </c>
      <c r="F3" s="489" t="s">
        <v>110</v>
      </c>
      <c r="G3" s="437"/>
      <c r="H3" s="426"/>
      <c r="I3" s="426"/>
      <c r="J3" s="426"/>
      <c r="K3" s="426"/>
      <c r="L3" s="426"/>
      <c r="M3" s="426"/>
      <c r="N3" s="484"/>
      <c r="O3" s="435"/>
      <c r="P3" s="436" t="s">
        <v>550</v>
      </c>
    </row>
    <row r="4" spans="1:16" ht="15.6" thickBot="1">
      <c r="A4" s="664"/>
      <c r="B4" s="490" t="s">
        <v>553</v>
      </c>
      <c r="C4" s="431"/>
      <c r="D4" s="430" t="s">
        <v>549</v>
      </c>
      <c r="E4" s="488" t="e">
        <f>C4/[1]Dépenses!$O$6</f>
        <v>#DIV/0!</v>
      </c>
      <c r="F4" s="489" t="s">
        <v>110</v>
      </c>
      <c r="G4" s="425"/>
      <c r="H4" s="426"/>
      <c r="I4" s="426"/>
      <c r="J4" s="426"/>
      <c r="K4" s="426"/>
      <c r="L4" s="426"/>
      <c r="M4" s="426"/>
      <c r="N4" s="484"/>
      <c r="O4" s="435"/>
      <c r="P4" s="436" t="s">
        <v>550</v>
      </c>
    </row>
    <row r="5" spans="1:16" ht="15.6" thickBot="1">
      <c r="A5" s="665"/>
      <c r="B5" s="439" t="s">
        <v>554</v>
      </c>
      <c r="C5" s="440">
        <f>SUM(C1:C4)</f>
        <v>0</v>
      </c>
      <c r="D5" s="441" t="s">
        <v>549</v>
      </c>
      <c r="E5" s="442" t="e">
        <f>C5/[1]Dépenses!$O$6</f>
        <v>#DIV/0!</v>
      </c>
      <c r="F5" s="443" t="s">
        <v>110</v>
      </c>
      <c r="G5" s="444"/>
      <c r="H5" s="426"/>
      <c r="I5" s="426"/>
      <c r="J5" s="426"/>
      <c r="K5" s="426"/>
      <c r="L5" s="426"/>
      <c r="M5" s="426"/>
      <c r="N5" s="491"/>
      <c r="O5" s="446"/>
      <c r="P5" s="447" t="s">
        <v>550</v>
      </c>
    </row>
    <row r="6" spans="1:16" ht="14.4" thickBot="1">
      <c r="A6" s="480"/>
      <c r="B6" s="448"/>
      <c r="C6" s="449"/>
      <c r="D6" s="448"/>
      <c r="E6" s="450"/>
      <c r="F6" s="448"/>
      <c r="G6" s="444"/>
      <c r="H6" s="426"/>
      <c r="I6" s="426"/>
      <c r="J6" s="426"/>
      <c r="K6" s="426"/>
      <c r="L6" s="426"/>
      <c r="M6" s="426"/>
      <c r="N6" s="451" t="s">
        <v>555</v>
      </c>
      <c r="O6" s="452">
        <f>SUM(O1:O5)</f>
        <v>0</v>
      </c>
      <c r="P6" s="453" t="s">
        <v>556</v>
      </c>
    </row>
    <row r="7" spans="1:16" ht="13.5" customHeight="1" thickBot="1">
      <c r="A7" s="663" t="s">
        <v>584</v>
      </c>
      <c r="B7" s="454" t="s">
        <v>557</v>
      </c>
      <c r="C7" s="455"/>
      <c r="D7" s="421" t="s">
        <v>558</v>
      </c>
      <c r="E7" s="456">
        <f>C7*12</f>
        <v>0</v>
      </c>
      <c r="F7" s="424" t="s">
        <v>559</v>
      </c>
      <c r="G7" s="426"/>
      <c r="H7" s="427" t="s">
        <v>560</v>
      </c>
      <c r="I7" s="457">
        <f>0.2*K7+K7</f>
        <v>1315.2</v>
      </c>
      <c r="J7" s="458" t="s">
        <v>561</v>
      </c>
      <c r="K7" s="428">
        <v>1096</v>
      </c>
      <c r="L7" s="429" t="s">
        <v>558</v>
      </c>
      <c r="M7" s="426"/>
      <c r="N7" s="451" t="s">
        <v>562</v>
      </c>
      <c r="O7" s="459"/>
      <c r="P7" s="453" t="s">
        <v>556</v>
      </c>
    </row>
    <row r="8" spans="1:16" ht="14.4" thickBot="1">
      <c r="A8" s="664"/>
      <c r="B8" s="438" t="s">
        <v>563</v>
      </c>
      <c r="C8" s="431"/>
      <c r="D8" s="430" t="s">
        <v>558</v>
      </c>
      <c r="E8" s="460">
        <f>C8*12</f>
        <v>0</v>
      </c>
      <c r="F8" s="433" t="s">
        <v>559</v>
      </c>
      <c r="G8" s="425"/>
      <c r="H8" s="445" t="s">
        <v>560</v>
      </c>
      <c r="I8" s="461">
        <f>0.2*K8+K8</f>
        <v>1315.2</v>
      </c>
      <c r="J8" s="462" t="s">
        <v>561</v>
      </c>
      <c r="K8" s="446">
        <v>1096</v>
      </c>
      <c r="L8" s="447" t="s">
        <v>558</v>
      </c>
      <c r="M8" s="426"/>
      <c r="N8" s="426"/>
      <c r="O8" s="426"/>
      <c r="P8" s="426"/>
    </row>
    <row r="9" spans="1:16" ht="14.4" thickBot="1">
      <c r="A9" s="664"/>
      <c r="B9" s="454" t="s">
        <v>564</v>
      </c>
      <c r="C9" s="422">
        <f>E9/12</f>
        <v>0</v>
      </c>
      <c r="D9" s="421" t="s">
        <v>558</v>
      </c>
      <c r="E9" s="463">
        <f>K9*$O$6</f>
        <v>0</v>
      </c>
      <c r="F9" s="424" t="s">
        <v>559</v>
      </c>
      <c r="G9" s="425"/>
      <c r="H9" s="451" t="s">
        <v>565</v>
      </c>
      <c r="I9" s="459">
        <v>10</v>
      </c>
      <c r="J9" s="464" t="s">
        <v>566</v>
      </c>
      <c r="K9" s="464">
        <f>I9*0.196+I9</f>
        <v>11.96</v>
      </c>
      <c r="L9" s="453" t="s">
        <v>567</v>
      </c>
      <c r="M9" s="426"/>
      <c r="N9" s="426"/>
      <c r="O9" s="426"/>
      <c r="P9" s="426"/>
    </row>
    <row r="10" spans="1:16" ht="14.4" thickBot="1">
      <c r="A10" s="664"/>
      <c r="B10" s="438" t="s">
        <v>568</v>
      </c>
      <c r="C10" s="465">
        <f>E10/12</f>
        <v>0</v>
      </c>
      <c r="D10" s="430" t="s">
        <v>558</v>
      </c>
      <c r="E10" s="432">
        <f>K10*$O$6</f>
        <v>0</v>
      </c>
      <c r="F10" s="433" t="s">
        <v>559</v>
      </c>
      <c r="G10" s="425"/>
      <c r="H10" s="451" t="s">
        <v>565</v>
      </c>
      <c r="I10" s="459">
        <v>6</v>
      </c>
      <c r="J10" s="464" t="s">
        <v>566</v>
      </c>
      <c r="K10" s="464">
        <f>I10*0.196+I10</f>
        <v>7.1760000000000002</v>
      </c>
      <c r="L10" s="453" t="s">
        <v>567</v>
      </c>
      <c r="M10" s="426"/>
      <c r="N10" s="426"/>
      <c r="O10" s="426"/>
      <c r="P10" s="426"/>
    </row>
    <row r="11" spans="1:16" ht="14.4" thickBot="1">
      <c r="A11" s="664"/>
      <c r="B11" s="438" t="s">
        <v>569</v>
      </c>
      <c r="C11" s="465">
        <f>E11/12</f>
        <v>0</v>
      </c>
      <c r="D11" s="430" t="s">
        <v>558</v>
      </c>
      <c r="E11" s="432">
        <f>K11*$O$6</f>
        <v>0</v>
      </c>
      <c r="F11" s="433" t="s">
        <v>559</v>
      </c>
      <c r="G11" s="425"/>
      <c r="H11" s="451" t="s">
        <v>565</v>
      </c>
      <c r="I11" s="459">
        <v>60</v>
      </c>
      <c r="J11" s="464" t="s">
        <v>566</v>
      </c>
      <c r="K11" s="464">
        <f>I11*0.196+I11</f>
        <v>71.760000000000005</v>
      </c>
      <c r="L11" s="453" t="s">
        <v>567</v>
      </c>
      <c r="M11" s="426"/>
      <c r="N11" s="426"/>
      <c r="O11" s="426"/>
      <c r="P11" s="426"/>
    </row>
    <row r="12" spans="1:16" ht="14.4" thickBot="1">
      <c r="A12" s="664"/>
      <c r="B12" s="466" t="s">
        <v>570</v>
      </c>
      <c r="C12" s="467">
        <f>E12/12</f>
        <v>0</v>
      </c>
      <c r="D12" s="468" t="s">
        <v>558</v>
      </c>
      <c r="E12" s="469">
        <f>I12*K12*O6</f>
        <v>0</v>
      </c>
      <c r="F12" s="470" t="s">
        <v>559</v>
      </c>
      <c r="G12" s="425"/>
      <c r="H12" s="451" t="s">
        <v>571</v>
      </c>
      <c r="I12" s="459">
        <v>15</v>
      </c>
      <c r="J12" s="464" t="s">
        <v>572</v>
      </c>
      <c r="K12" s="459">
        <f>(0.1211+0.1181)/2</f>
        <v>0.1196</v>
      </c>
      <c r="L12" s="453" t="s">
        <v>573</v>
      </c>
      <c r="M12" s="426"/>
      <c r="N12" s="426"/>
      <c r="O12" s="426"/>
      <c r="P12" s="426"/>
    </row>
    <row r="13" spans="1:16" ht="14.4" thickBot="1">
      <c r="A13" s="665"/>
      <c r="B13" s="439" t="s">
        <v>574</v>
      </c>
      <c r="C13" s="471">
        <f>SUM(C7:C12)</f>
        <v>0</v>
      </c>
      <c r="D13" s="441" t="s">
        <v>558</v>
      </c>
      <c r="E13" s="472">
        <f>C13*12</f>
        <v>0</v>
      </c>
      <c r="F13" s="473" t="s">
        <v>559</v>
      </c>
      <c r="G13" s="474"/>
      <c r="H13" s="426"/>
      <c r="I13" s="426"/>
      <c r="J13" s="426"/>
      <c r="K13" s="426"/>
      <c r="L13" s="426"/>
      <c r="M13" s="426"/>
      <c r="N13" s="426"/>
      <c r="O13" s="426"/>
      <c r="P13" s="426"/>
    </row>
    <row r="14" spans="1:16" ht="14.4" thickBot="1">
      <c r="A14" s="426"/>
      <c r="B14" s="426"/>
      <c r="C14" s="475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</row>
    <row r="15" spans="1:16" ht="13.5" customHeight="1" thickBot="1">
      <c r="A15" s="666" t="s">
        <v>585</v>
      </c>
      <c r="B15" s="451" t="s">
        <v>575</v>
      </c>
      <c r="C15" s="476"/>
      <c r="D15" s="464" t="s">
        <v>576</v>
      </c>
      <c r="E15" s="452">
        <f>C15*12</f>
        <v>0</v>
      </c>
      <c r="F15" s="453" t="s">
        <v>577</v>
      </c>
      <c r="G15" s="426"/>
      <c r="H15" s="426"/>
      <c r="I15" s="426"/>
      <c r="J15" s="426"/>
      <c r="K15" s="426"/>
      <c r="L15" s="426"/>
      <c r="M15" s="426"/>
      <c r="N15" s="426"/>
      <c r="O15" s="426"/>
      <c r="P15" s="426"/>
    </row>
    <row r="16" spans="1:16" ht="14.4" thickBot="1">
      <c r="A16" s="667"/>
      <c r="B16" s="434" t="s">
        <v>578</v>
      </c>
      <c r="C16" s="669"/>
      <c r="D16" s="670"/>
      <c r="E16" s="426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</row>
    <row r="17" spans="1:16" ht="14.4" thickBot="1">
      <c r="A17" s="667"/>
      <c r="B17" s="451" t="s">
        <v>579</v>
      </c>
      <c r="C17" s="477">
        <f>C5</f>
        <v>0</v>
      </c>
      <c r="D17" s="453" t="s">
        <v>549</v>
      </c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</row>
    <row r="18" spans="1:16" ht="14.4" thickBot="1">
      <c r="A18" s="667"/>
      <c r="B18" s="451" t="s">
        <v>580</v>
      </c>
      <c r="C18" s="477" t="e">
        <f>(C17*(C16/12)*(1+(C16/12))^E15)/(((1+(C16/12))^E15)-1)</f>
        <v>#DIV/0!</v>
      </c>
      <c r="D18" s="453" t="s">
        <v>558</v>
      </c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</row>
    <row r="19" spans="1:16" ht="14.4" thickBot="1">
      <c r="A19" s="667"/>
      <c r="B19" s="451" t="s">
        <v>581</v>
      </c>
      <c r="C19" s="477" t="e">
        <f>E15*C18</f>
        <v>#DIV/0!</v>
      </c>
      <c r="D19" s="453" t="s">
        <v>549</v>
      </c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</row>
    <row r="20" spans="1:16" ht="14.4" thickBot="1">
      <c r="A20" s="668"/>
      <c r="B20" s="451" t="s">
        <v>582</v>
      </c>
      <c r="C20" s="477" t="e">
        <f>C19-C17</f>
        <v>#DIV/0!</v>
      </c>
      <c r="D20" s="453" t="s">
        <v>549</v>
      </c>
      <c r="E20" s="426"/>
      <c r="F20" s="426"/>
      <c r="G20" s="426"/>
      <c r="H20" s="426"/>
      <c r="I20" s="426"/>
      <c r="J20" s="426"/>
      <c r="K20" s="426"/>
      <c r="L20" s="426"/>
      <c r="M20" s="426"/>
      <c r="N20" s="426"/>
      <c r="O20" s="426"/>
      <c r="P20" s="426"/>
    </row>
    <row r="21" spans="1:16">
      <c r="A21" s="426"/>
      <c r="B21" s="426"/>
      <c r="C21" s="475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</row>
    <row r="22" spans="1:16">
      <c r="O22" s="426"/>
      <c r="P22" s="426"/>
    </row>
  </sheetData>
  <sheetProtection password="CC33" sheet="1" objects="1" scenarios="1" formatCells="0"/>
  <mergeCells count="4">
    <mergeCell ref="A1:A5"/>
    <mergeCell ref="A7:A13"/>
    <mergeCell ref="A15:A20"/>
    <mergeCell ref="C16:D16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CHIFFRAGE 2015</vt:lpstr>
      <vt:lpstr>INVESTISSEMENT</vt:lpstr>
      <vt:lpstr>'CHIFFRAGE 2015'!Zone_d_impression</vt:lpstr>
      <vt:lpstr>INVESTISSEMENT!Zone_d_impression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AB2C</dc:creator>
  <cp:lastModifiedBy>Administrateur</cp:lastModifiedBy>
  <cp:lastPrinted>2015-01-18T12:37:08Z</cp:lastPrinted>
  <dcterms:created xsi:type="dcterms:W3CDTF">2011-03-27T19:46:36Z</dcterms:created>
  <dcterms:modified xsi:type="dcterms:W3CDTF">2020-09-21T07:53:57Z</dcterms:modified>
</cp:coreProperties>
</file>